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_RaF\Rozpočtový výhled\Rozpočtový výhled 2018-2020\ZOK 19.6.2017\"/>
    </mc:Choice>
  </mc:AlternateContent>
  <bookViews>
    <workbookView xWindow="0" yWindow="120" windowWidth="15480" windowHeight="11580"/>
  </bookViews>
  <sheets>
    <sheet name="Příloha č. 1" sheetId="1" r:id="rId1"/>
  </sheets>
  <definedNames>
    <definedName name="_xlnm.Print_Area" localSheetId="0">'Příloha č. 1'!$A$1:$I$117</definedName>
  </definedNames>
  <calcPr calcId="162913"/>
</workbook>
</file>

<file path=xl/calcChain.xml><?xml version="1.0" encoding="utf-8"?>
<calcChain xmlns="http://schemas.openxmlformats.org/spreadsheetml/2006/main">
  <c r="D122" i="1" l="1"/>
  <c r="D119" i="1"/>
  <c r="D118" i="1"/>
  <c r="H93" i="1"/>
  <c r="F93" i="1"/>
  <c r="D93" i="1"/>
  <c r="F78" i="1"/>
  <c r="D78" i="1"/>
  <c r="H53" i="1"/>
  <c r="F53" i="1"/>
  <c r="D53" i="1"/>
  <c r="H40" i="1"/>
  <c r="F40" i="1"/>
  <c r="D40" i="1"/>
  <c r="H46" i="1"/>
  <c r="F46" i="1"/>
  <c r="D46" i="1"/>
  <c r="F24" i="1"/>
  <c r="D24" i="1"/>
  <c r="H10" i="1"/>
  <c r="F10" i="1"/>
  <c r="D10" i="1"/>
  <c r="G9" i="1"/>
  <c r="G8" i="1"/>
  <c r="G7" i="1"/>
  <c r="I9" i="1"/>
  <c r="I8" i="1"/>
  <c r="I7" i="1"/>
  <c r="H7" i="1"/>
  <c r="F7" i="1"/>
  <c r="D7" i="1"/>
  <c r="D57" i="1"/>
  <c r="D58" i="1"/>
  <c r="H57" i="1" l="1"/>
  <c r="H15" i="1"/>
  <c r="F15" i="1"/>
  <c r="D15" i="1"/>
  <c r="D56" i="1"/>
  <c r="F57" i="1"/>
  <c r="D42" i="1"/>
  <c r="H20" i="1" l="1"/>
  <c r="I23" i="1"/>
  <c r="E23" i="1"/>
  <c r="G23" i="1"/>
  <c r="F20" i="1"/>
  <c r="D20" i="1"/>
  <c r="H21" i="1" l="1"/>
  <c r="F21" i="1"/>
  <c r="G21" i="1" s="1"/>
  <c r="H13" i="1" l="1"/>
  <c r="D21" i="1"/>
  <c r="G16" i="1"/>
  <c r="H9" i="1"/>
  <c r="F9" i="1"/>
  <c r="H8" i="1"/>
  <c r="C118" i="1" l="1"/>
  <c r="H99" i="1"/>
  <c r="C46" i="1"/>
  <c r="C93" i="1"/>
  <c r="I50" i="1"/>
  <c r="I51" i="1"/>
  <c r="G50" i="1"/>
  <c r="G51" i="1"/>
  <c r="I97" i="1"/>
  <c r="G97" i="1"/>
  <c r="F99" i="1"/>
  <c r="D99" i="1"/>
  <c r="C99" i="1"/>
  <c r="I95" i="1"/>
  <c r="G95" i="1"/>
  <c r="H95" i="1"/>
  <c r="F95" i="1"/>
  <c r="D95" i="1"/>
  <c r="C95" i="1"/>
  <c r="E95" i="1" s="1"/>
  <c r="H116" i="1"/>
  <c r="I116" i="1"/>
  <c r="G116" i="1"/>
  <c r="G99" i="1" l="1"/>
  <c r="I115" i="1" l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H79" i="1"/>
  <c r="I86" i="1"/>
  <c r="H84" i="1"/>
  <c r="I83" i="1"/>
  <c r="H83" i="1"/>
  <c r="I81" i="1"/>
  <c r="H81" i="1"/>
  <c r="I75" i="1"/>
  <c r="I68" i="1"/>
  <c r="I84" i="1" s="1"/>
  <c r="I63" i="1"/>
  <c r="H62" i="1"/>
  <c r="I61" i="1"/>
  <c r="H61" i="1"/>
  <c r="H60" i="1"/>
  <c r="I60" i="1" s="1"/>
  <c r="I58" i="1"/>
  <c r="I57" i="1"/>
  <c r="I56" i="1"/>
  <c r="I55" i="1"/>
  <c r="I54" i="1"/>
  <c r="I49" i="1"/>
  <c r="I48" i="1"/>
  <c r="I47" i="1"/>
  <c r="I45" i="1"/>
  <c r="H45" i="1"/>
  <c r="H44" i="1"/>
  <c r="I44" i="1" s="1"/>
  <c r="I43" i="1"/>
  <c r="H43" i="1"/>
  <c r="I41" i="1"/>
  <c r="H41" i="1"/>
  <c r="I32" i="1"/>
  <c r="I30" i="1"/>
  <c r="H30" i="1"/>
  <c r="I29" i="1"/>
  <c r="H29" i="1"/>
  <c r="I27" i="1"/>
  <c r="H27" i="1"/>
  <c r="I25" i="1"/>
  <c r="H25" i="1"/>
  <c r="I19" i="1"/>
  <c r="I15" i="1"/>
  <c r="I14" i="1"/>
  <c r="H12" i="1"/>
  <c r="I12" i="1" s="1"/>
  <c r="I11" i="1"/>
  <c r="H11" i="1"/>
  <c r="C57" i="1" l="1"/>
  <c r="E86" i="1"/>
  <c r="G86" i="1"/>
  <c r="C41" i="1" l="1"/>
  <c r="C45" i="1" l="1"/>
  <c r="D41" i="1"/>
  <c r="C20" i="1"/>
  <c r="C13" i="1" l="1"/>
  <c r="C63" i="1" l="1"/>
  <c r="C62" i="1" l="1"/>
  <c r="D62" i="1" l="1"/>
  <c r="F45" i="1" l="1"/>
  <c r="F42" i="1"/>
  <c r="H42" i="1" s="1"/>
  <c r="D61" i="1"/>
  <c r="F41" i="1"/>
  <c r="I42" i="1" l="1"/>
  <c r="H78" i="1"/>
  <c r="I53" i="1"/>
  <c r="E63" i="1"/>
  <c r="D8" i="1"/>
  <c r="D9" i="1"/>
  <c r="D13" i="1"/>
  <c r="D12" i="1"/>
  <c r="H87" i="1" l="1"/>
  <c r="H80" i="1"/>
  <c r="H82" i="1" s="1"/>
  <c r="H85" i="1" s="1"/>
  <c r="F8" i="1"/>
  <c r="E8" i="1"/>
  <c r="H119" i="1" l="1"/>
  <c r="H92" i="1"/>
  <c r="E48" i="1" l="1"/>
  <c r="E49" i="1"/>
  <c r="E47" i="1"/>
  <c r="G63" i="1"/>
  <c r="G19" i="1"/>
  <c r="E19" i="1"/>
  <c r="E55" i="1"/>
  <c r="E56" i="1"/>
  <c r="E54" i="1"/>
  <c r="I99" i="1" l="1"/>
  <c r="I79" i="1" s="1"/>
  <c r="I40" i="1" l="1"/>
  <c r="I46" i="1"/>
  <c r="G58" i="1"/>
  <c r="G56" i="1"/>
  <c r="E57" i="1" l="1"/>
  <c r="E58" i="1"/>
  <c r="G32" i="1"/>
  <c r="E32" i="1"/>
  <c r="G15" i="1"/>
  <c r="E14" i="1"/>
  <c r="E15" i="1"/>
  <c r="E16" i="1"/>
  <c r="F13" i="1"/>
  <c r="D17" i="1"/>
  <c r="D18" i="1"/>
  <c r="E18" i="1" s="1"/>
  <c r="F12" i="1"/>
  <c r="G13" i="1" l="1"/>
  <c r="F17" i="1"/>
  <c r="G57" i="1"/>
  <c r="E17" i="1"/>
  <c r="E13" i="1"/>
  <c r="F18" i="1"/>
  <c r="G14" i="1"/>
  <c r="C10" i="1"/>
  <c r="C7" i="1"/>
  <c r="G17" i="1" l="1"/>
  <c r="H17" i="1"/>
  <c r="I17" i="1" s="1"/>
  <c r="G18" i="1"/>
  <c r="H18" i="1"/>
  <c r="I18" i="1" s="1"/>
  <c r="I13" i="1"/>
  <c r="C24" i="1"/>
  <c r="C33" i="1" s="1"/>
  <c r="C90" i="1" s="1"/>
  <c r="E93" i="1"/>
  <c r="E46" i="1"/>
  <c r="C40" i="1"/>
  <c r="C53" i="1"/>
  <c r="C78" i="1" l="1"/>
  <c r="C87" i="1" l="1"/>
  <c r="C92" i="1" s="1"/>
  <c r="C122" i="1" s="1"/>
  <c r="C119" i="1" l="1"/>
  <c r="C121" i="1" s="1"/>
  <c r="E94" i="1"/>
  <c r="G115" i="1"/>
  <c r="G101" i="1"/>
  <c r="G100" i="1"/>
  <c r="E115" i="1"/>
  <c r="E104" i="1"/>
  <c r="E105" i="1"/>
  <c r="E106" i="1"/>
  <c r="E107" i="1"/>
  <c r="E108" i="1"/>
  <c r="E109" i="1"/>
  <c r="E110" i="1"/>
  <c r="E111" i="1"/>
  <c r="E112" i="1"/>
  <c r="E113" i="1"/>
  <c r="E114" i="1"/>
  <c r="E101" i="1"/>
  <c r="E100" i="1"/>
  <c r="E99" i="1"/>
  <c r="E41" i="1" l="1"/>
  <c r="G42" i="1"/>
  <c r="D44" i="1"/>
  <c r="F44" i="1" s="1"/>
  <c r="D43" i="1"/>
  <c r="E45" i="1"/>
  <c r="E53" i="1"/>
  <c r="G68" i="1"/>
  <c r="E68" i="1"/>
  <c r="E59" i="1"/>
  <c r="E61" i="1"/>
  <c r="D60" i="1"/>
  <c r="F60" i="1" s="1"/>
  <c r="G60" i="1" s="1"/>
  <c r="E20" i="1" l="1"/>
  <c r="F43" i="1"/>
  <c r="E40" i="1"/>
  <c r="E43" i="1"/>
  <c r="E44" i="1"/>
  <c r="E42" i="1"/>
  <c r="E60" i="1"/>
  <c r="G41" i="1"/>
  <c r="F11" i="1"/>
  <c r="I10" i="1" s="1"/>
  <c r="E11" i="1"/>
  <c r="E21" i="1"/>
  <c r="E9" i="1"/>
  <c r="E7" i="1"/>
  <c r="E12" i="1"/>
  <c r="G49" i="1"/>
  <c r="G48" i="1"/>
  <c r="G47" i="1"/>
  <c r="D33" i="1" l="1"/>
  <c r="G11" i="1"/>
  <c r="G10" i="1"/>
  <c r="G54" i="1"/>
  <c r="G53" i="1"/>
  <c r="D90" i="1" l="1"/>
  <c r="I21" i="1"/>
  <c r="F62" i="1"/>
  <c r="I62" i="1" s="1"/>
  <c r="F61" i="1"/>
  <c r="G61" i="1" s="1"/>
  <c r="G104" i="1"/>
  <c r="G107" i="1"/>
  <c r="G109" i="1"/>
  <c r="G110" i="1"/>
  <c r="G112" i="1"/>
  <c r="G113" i="1"/>
  <c r="H24" i="1" l="1"/>
  <c r="I78" i="1"/>
  <c r="I80" i="1" s="1"/>
  <c r="I82" i="1" s="1"/>
  <c r="I85" i="1" s="1"/>
  <c r="G62" i="1"/>
  <c r="G46" i="1"/>
  <c r="G12" i="1"/>
  <c r="H33" i="1" l="1"/>
  <c r="H91" i="1"/>
  <c r="H26" i="1"/>
  <c r="H28" i="1" s="1"/>
  <c r="H31" i="1" s="1"/>
  <c r="G45" i="1"/>
  <c r="G44" i="1"/>
  <c r="H90" i="1" l="1"/>
  <c r="H122" i="1" s="1"/>
  <c r="H118" i="1"/>
  <c r="H121" i="1" s="1"/>
  <c r="G43" i="1"/>
  <c r="E79" i="1" l="1"/>
  <c r="E76" i="1"/>
  <c r="G75" i="1"/>
  <c r="E75" i="1"/>
  <c r="G27" i="1"/>
  <c r="G29" i="1"/>
  <c r="G30" i="1"/>
  <c r="G81" i="1"/>
  <c r="G83" i="1"/>
  <c r="G84" i="1"/>
  <c r="F81" i="1"/>
  <c r="F84" i="1"/>
  <c r="F27" i="1"/>
  <c r="F30" i="1"/>
  <c r="E84" i="1"/>
  <c r="F29" i="1"/>
  <c r="D81" i="1"/>
  <c r="D83" i="1"/>
  <c r="E83" i="1"/>
  <c r="F83" i="1"/>
  <c r="D84" i="1"/>
  <c r="E29" i="1"/>
  <c r="E30" i="1"/>
  <c r="D25" i="1"/>
  <c r="D27" i="1"/>
  <c r="D29" i="1"/>
  <c r="D30" i="1"/>
  <c r="G108" i="1"/>
  <c r="G114" i="1"/>
  <c r="G105" i="1"/>
  <c r="E81" i="1"/>
  <c r="F79" i="1"/>
  <c r="G106" i="1" l="1"/>
  <c r="D79" i="1"/>
  <c r="G111" i="1"/>
  <c r="E25" i="1"/>
  <c r="G79" i="1"/>
  <c r="E10" i="1" l="1"/>
  <c r="G40" i="1"/>
  <c r="G55" i="1"/>
  <c r="G20" i="1" l="1"/>
  <c r="I20" i="1"/>
  <c r="E24" i="1"/>
  <c r="E26" i="1" s="1"/>
  <c r="E28" i="1" s="1"/>
  <c r="E31" i="1" s="1"/>
  <c r="D26" i="1"/>
  <c r="D28" i="1" s="1"/>
  <c r="D31" i="1" s="1"/>
  <c r="E102" i="1"/>
  <c r="F33" i="1" l="1"/>
  <c r="I33" i="1" s="1"/>
  <c r="I24" i="1"/>
  <c r="I26" i="1" s="1"/>
  <c r="I28" i="1" s="1"/>
  <c r="I31" i="1" s="1"/>
  <c r="E33" i="1"/>
  <c r="G24" i="1"/>
  <c r="F87" i="1"/>
  <c r="I87" i="1" s="1"/>
  <c r="G33" i="1" l="1"/>
  <c r="F118" i="1"/>
  <c r="F90" i="1"/>
  <c r="I90" i="1" s="1"/>
  <c r="F119" i="1"/>
  <c r="F92" i="1"/>
  <c r="E90" i="1"/>
  <c r="F80" i="1"/>
  <c r="F82" i="1" s="1"/>
  <c r="F85" i="1" s="1"/>
  <c r="F91" i="1"/>
  <c r="I91" i="1" s="1"/>
  <c r="G103" i="1"/>
  <c r="G90" i="1" l="1"/>
  <c r="F122" i="1"/>
  <c r="I92" i="1"/>
  <c r="D87" i="1"/>
  <c r="E62" i="1"/>
  <c r="D92" i="1" l="1"/>
  <c r="E78" i="1"/>
  <c r="E80" i="1" s="1"/>
  <c r="E82" i="1" s="1"/>
  <c r="E85" i="1" s="1"/>
  <c r="G78" i="1"/>
  <c r="G80" i="1" s="1"/>
  <c r="G82" i="1" s="1"/>
  <c r="G85" i="1" s="1"/>
  <c r="E103" i="1"/>
  <c r="D91" i="1"/>
  <c r="E91" i="1" s="1"/>
  <c r="D80" i="1"/>
  <c r="D82" i="1" s="1"/>
  <c r="D85" i="1" s="1"/>
  <c r="F25" i="1"/>
  <c r="F26" i="1" s="1"/>
  <c r="F28" i="1" s="1"/>
  <c r="F31" i="1" s="1"/>
  <c r="F121" i="1"/>
  <c r="G25" i="1"/>
  <c r="G26" i="1" s="1"/>
  <c r="G28" i="1" s="1"/>
  <c r="G31" i="1" s="1"/>
  <c r="G102" i="1"/>
  <c r="G93" i="1" l="1"/>
  <c r="I93" i="1"/>
  <c r="G92" i="1"/>
  <c r="E92" i="1"/>
  <c r="D121" i="1"/>
  <c r="G87" i="1"/>
  <c r="E87" i="1"/>
  <c r="G91" i="1"/>
</calcChain>
</file>

<file path=xl/sharedStrings.xml><?xml version="1.0" encoding="utf-8"?>
<sst xmlns="http://schemas.openxmlformats.org/spreadsheetml/2006/main" count="92" uniqueCount="83">
  <si>
    <t>DAŇOVÉ PŘÍJMY</t>
  </si>
  <si>
    <t>NEDAŇOVÉ PŘÍJMY</t>
  </si>
  <si>
    <t>KAPITÁLOVÉ PŘÍJMY</t>
  </si>
  <si>
    <t>DOTACE   CELKEM</t>
  </si>
  <si>
    <t xml:space="preserve">PŘÍJMY CELKEM </t>
  </si>
  <si>
    <t>VÝDAJE CELKEM</t>
  </si>
  <si>
    <t>Saldo příjmů a výdajů</t>
  </si>
  <si>
    <t>PŘÍJMY CELKEM</t>
  </si>
  <si>
    <t>FINANCOVÁNÍ CELKEM</t>
  </si>
  <si>
    <t>z toho: daňové příjmy</t>
  </si>
  <si>
    <t xml:space="preserve">           správní poplatky</t>
  </si>
  <si>
    <t>z toho:  souhrnný fin. vztah k SR</t>
  </si>
  <si>
    <t>z toho: příjmy z pronájmu</t>
  </si>
  <si>
    <t xml:space="preserve">          přijaté sankční platby</t>
  </si>
  <si>
    <t xml:space="preserve">          příjmy z úroků</t>
  </si>
  <si>
    <t xml:space="preserve">         odvody příspěvkových organizací </t>
  </si>
  <si>
    <t xml:space="preserve">         fond - voda (poplatky za odběr vody)</t>
  </si>
  <si>
    <t xml:space="preserve">PŘÍJMY   </t>
  </si>
  <si>
    <t>VÝDAJE</t>
  </si>
  <si>
    <t xml:space="preserve">Příspěvkové organizace  </t>
  </si>
  <si>
    <t>Sociální fond</t>
  </si>
  <si>
    <t>Fond  - voda</t>
  </si>
  <si>
    <t xml:space="preserve">z toho: oblast školství </t>
  </si>
  <si>
    <t xml:space="preserve">          oblast sociálních věcí </t>
  </si>
  <si>
    <t xml:space="preserve">          oblast kultury</t>
  </si>
  <si>
    <t xml:space="preserve">          oblast dopravy </t>
  </si>
  <si>
    <t xml:space="preserve">          oblast zdravotnictví </t>
  </si>
  <si>
    <t xml:space="preserve">         krajský úřad a zastupitelé</t>
  </si>
  <si>
    <t>Financování - přijatý úvěr  (+)</t>
  </si>
  <si>
    <t>Financování - zapojení nevyužitých prostředků předcházejícího roku (přebytek)</t>
  </si>
  <si>
    <t xml:space="preserve">          oblast zdravotnictví (NOK, a.s.)</t>
  </si>
  <si>
    <t xml:space="preserve">         splátky půjček a ostatní nedaňové příjmy</t>
  </si>
  <si>
    <t>z toho: autobusová doprava</t>
  </si>
  <si>
    <t xml:space="preserve">           drážní doprava</t>
  </si>
  <si>
    <t>Číslo řádku</t>
  </si>
  <si>
    <t xml:space="preserve">          z toho: PPP - Dub nad Moravou </t>
  </si>
  <si>
    <t xml:space="preserve">          Komerční banka (investice) - úroky</t>
  </si>
  <si>
    <t>v tis.Kč</t>
  </si>
  <si>
    <t xml:space="preserve">           EIB  - úroky</t>
  </si>
  <si>
    <t xml:space="preserve">Financování - splátky úvěru  (-) </t>
  </si>
  <si>
    <t xml:space="preserve">          EIB  - jistina</t>
  </si>
  <si>
    <t xml:space="preserve">Odbory (kanceláře) - provozní výdaje a dotační tituly </t>
  </si>
  <si>
    <t>a) provozní výdaje odborů</t>
  </si>
  <si>
    <t>b) dotační tituly</t>
  </si>
  <si>
    <t xml:space="preserve">e) úroky z úvěru </t>
  </si>
  <si>
    <t xml:space="preserve"> z toho: EIB (Modernizace silniční síte) - úroky</t>
  </si>
  <si>
    <t xml:space="preserve">          Komerční banka  - jistina</t>
  </si>
  <si>
    <t xml:space="preserve">a) příspěvek na provoz </t>
  </si>
  <si>
    <t>b) příspěve na provoz - mzdové náklady</t>
  </si>
  <si>
    <t>c) příspěvek na provoz - odpisy</t>
  </si>
  <si>
    <t>Evropské programy</t>
  </si>
  <si>
    <t>Investiční výdaje</t>
  </si>
  <si>
    <t xml:space="preserve">d) příspěvek na provoz - nájemné, ostatní </t>
  </si>
  <si>
    <t xml:space="preserve">         Česká spořitelna - revolving (předfinancování projektů)</t>
  </si>
  <si>
    <t>a) rozpracované investice</t>
  </si>
  <si>
    <t>b) alokace 5 - 12 - podíl Olomouckého kraje</t>
  </si>
  <si>
    <t xml:space="preserve">          ostatní nedaňové příjmy</t>
  </si>
  <si>
    <t xml:space="preserve">         sociální fond</t>
  </si>
  <si>
    <t>Konsolidace</t>
  </si>
  <si>
    <t>PŘÍJMY CELKEM (po konsolidaci)</t>
  </si>
  <si>
    <t>VÝDAJE CELKEM (po konsolidaci)</t>
  </si>
  <si>
    <t>e) dopravní obslužnost</t>
  </si>
  <si>
    <t>18/17 (%)</t>
  </si>
  <si>
    <t xml:space="preserve">c) nespecifikovaná rezerva </t>
  </si>
  <si>
    <t>b) projekty spolufinancované z evropských fondů</t>
  </si>
  <si>
    <t xml:space="preserve">c) nové investice - odbory </t>
  </si>
  <si>
    <t xml:space="preserve">e) oblast zdravotnictví - z nájemného </t>
  </si>
  <si>
    <t xml:space="preserve">d) nové investice </t>
  </si>
  <si>
    <t>f) rezerva na investiční akce</t>
  </si>
  <si>
    <t>neinvestičnípřijaté transfery od obcí</t>
  </si>
  <si>
    <t>ostatní investiční přijaté transfery ze státního rozpočtu</t>
  </si>
  <si>
    <t>19/18 (%)</t>
  </si>
  <si>
    <t>Schválený rozpočet 2017</t>
  </si>
  <si>
    <t>20/19 (%)</t>
  </si>
  <si>
    <t>1. Střednědobý výhled rozpočtu Olomouckého kraje na období 2018 - 2020</t>
  </si>
  <si>
    <t>z toho: EIB (Modernizace silniční sítě) - jistina</t>
  </si>
  <si>
    <t xml:space="preserve">         Komerční banka (revolving - předfinancování) - jistina</t>
  </si>
  <si>
    <t xml:space="preserve">          Komerční banka - revolving (předfinancování projektů)</t>
  </si>
  <si>
    <t xml:space="preserve">z toho:Česká spořitelna - revolving (předfinancování projektů) </t>
  </si>
  <si>
    <t xml:space="preserve">Střednědobý výhled rozpočtu </t>
  </si>
  <si>
    <t xml:space="preserve">         Komerční banka - úvěr (kofinancování projektů)</t>
  </si>
  <si>
    <t xml:space="preserve">        Komerční banka (úvěr - kofinancování) - jistina</t>
  </si>
  <si>
    <t xml:space="preserve">          Komerční banka - úvěr (kofinancování projektů)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</si>
</sst>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33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i/>
      <sz val="10"/>
      <color indexed="9"/>
      <name val="Arial"/>
      <family val="2"/>
      <charset val="238"/>
    </font>
    <font>
      <sz val="10"/>
      <color indexed="12"/>
      <name val="Arial"/>
      <family val="2"/>
      <charset val="238"/>
    </font>
    <font>
      <b/>
      <sz val="10"/>
      <color indexed="14"/>
      <name val="Arial"/>
      <family val="2"/>
      <charset val="238"/>
    </font>
    <font>
      <b/>
      <sz val="16"/>
      <name val="Arial"/>
      <family val="2"/>
      <charset val="238"/>
    </font>
    <font>
      <b/>
      <sz val="10"/>
      <color indexed="40"/>
      <name val="Arial"/>
      <family val="2"/>
      <charset val="238"/>
    </font>
    <font>
      <b/>
      <i/>
      <sz val="11"/>
      <name val="Arial"/>
      <family val="2"/>
      <charset val="238"/>
    </font>
    <font>
      <b/>
      <sz val="10"/>
      <color indexed="53"/>
      <name val="Arial"/>
      <family val="2"/>
      <charset val="238"/>
    </font>
    <font>
      <b/>
      <sz val="10"/>
      <color indexed="19"/>
      <name val="Arial"/>
      <family val="2"/>
      <charset val="238"/>
    </font>
    <font>
      <b/>
      <sz val="11.6"/>
      <name val="Arial"/>
      <family val="2"/>
      <charset val="238"/>
    </font>
    <font>
      <i/>
      <sz val="10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sz val="11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theme="0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rgb="FFFF000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ck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hair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hair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hair">
        <color indexed="64"/>
      </right>
      <top/>
      <bottom/>
      <diagonal/>
    </border>
    <border>
      <left style="thick">
        <color indexed="64"/>
      </left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 style="thick">
        <color indexed="64"/>
      </right>
      <top/>
      <bottom/>
      <diagonal/>
    </border>
    <border>
      <left style="hair">
        <color indexed="64"/>
      </left>
      <right style="thick">
        <color indexed="64"/>
      </right>
      <top/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hair">
        <color indexed="64"/>
      </right>
      <top style="medium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hair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40">
    <xf numFmtId="0" fontId="0" fillId="0" borderId="0" xfId="0"/>
    <xf numFmtId="0" fontId="2" fillId="0" borderId="0" xfId="0" applyFont="1" applyFill="1" applyAlignment="1">
      <alignment horizontal="left"/>
    </xf>
    <xf numFmtId="0" fontId="3" fillId="0" borderId="0" xfId="0" applyFont="1" applyFill="1"/>
    <xf numFmtId="0" fontId="2" fillId="0" borderId="0" xfId="0" applyFont="1" applyFill="1" applyAlignment="1">
      <alignment vertical="center"/>
    </xf>
    <xf numFmtId="0" fontId="6" fillId="0" borderId="0" xfId="0" applyFont="1" applyFill="1"/>
    <xf numFmtId="0" fontId="7" fillId="0" borderId="0" xfId="0" applyFont="1" applyFill="1" applyAlignment="1">
      <alignment vertical="center"/>
    </xf>
    <xf numFmtId="0" fontId="9" fillId="0" borderId="0" xfId="0" applyFont="1" applyFill="1"/>
    <xf numFmtId="0" fontId="9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9" fillId="2" borderId="0" xfId="0" applyFont="1" applyFill="1" applyBorder="1" applyAlignment="1">
      <alignment horizontal="left" vertical="center"/>
    </xf>
    <xf numFmtId="3" fontId="9" fillId="2" borderId="0" xfId="0" applyNumberFormat="1" applyFont="1" applyFill="1" applyBorder="1" applyAlignment="1">
      <alignment vertical="center"/>
    </xf>
    <xf numFmtId="3" fontId="10" fillId="2" borderId="0" xfId="0" applyNumberFormat="1" applyFont="1" applyFill="1" applyBorder="1" applyAlignment="1">
      <alignment vertical="center"/>
    </xf>
    <xf numFmtId="164" fontId="11" fillId="2" borderId="0" xfId="0" applyNumberFormat="1" applyFont="1" applyFill="1" applyBorder="1" applyAlignment="1">
      <alignment horizontal="right" vertical="top"/>
    </xf>
    <xf numFmtId="0" fontId="9" fillId="0" borderId="0" xfId="0" applyFont="1" applyFill="1" applyAlignment="1">
      <alignment vertical="center"/>
    </xf>
    <xf numFmtId="3" fontId="3" fillId="0" borderId="0" xfId="0" applyNumberFormat="1" applyFont="1" applyFill="1"/>
    <xf numFmtId="0" fontId="8" fillId="0" borderId="0" xfId="0" applyFont="1" applyFill="1"/>
    <xf numFmtId="0" fontId="7" fillId="0" borderId="0" xfId="0" applyFont="1" applyFill="1"/>
    <xf numFmtId="3" fontId="13" fillId="2" borderId="0" xfId="0" applyNumberFormat="1" applyFont="1" applyFill="1" applyBorder="1" applyAlignment="1">
      <alignment vertical="center"/>
    </xf>
    <xf numFmtId="3" fontId="15" fillId="2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/>
    <xf numFmtId="0" fontId="15" fillId="2" borderId="0" xfId="0" applyFont="1" applyFill="1" applyBorder="1" applyAlignment="1">
      <alignment horizontal="left" vertical="center"/>
    </xf>
    <xf numFmtId="0" fontId="15" fillId="0" borderId="0" xfId="0" applyFont="1" applyFill="1" applyAlignment="1">
      <alignment vertical="center"/>
    </xf>
    <xf numFmtId="0" fontId="13" fillId="2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vertical="center"/>
    </xf>
    <xf numFmtId="3" fontId="7" fillId="0" borderId="1" xfId="0" applyNumberFormat="1" applyFont="1" applyFill="1" applyBorder="1" applyAlignment="1">
      <alignment horizontal="right" vertical="center"/>
    </xf>
    <xf numFmtId="164" fontId="7" fillId="0" borderId="2" xfId="0" applyNumberFormat="1" applyFont="1" applyFill="1" applyBorder="1" applyAlignment="1">
      <alignment horizontal="right" vertical="center"/>
    </xf>
    <xf numFmtId="3" fontId="7" fillId="0" borderId="3" xfId="0" applyNumberFormat="1" applyFont="1" applyFill="1" applyBorder="1" applyAlignment="1">
      <alignment vertical="center"/>
    </xf>
    <xf numFmtId="3" fontId="7" fillId="0" borderId="4" xfId="0" applyNumberFormat="1" applyFont="1" applyFill="1" applyBorder="1" applyAlignment="1">
      <alignment vertical="center"/>
    </xf>
    <xf numFmtId="0" fontId="5" fillId="0" borderId="0" xfId="0" applyFont="1" applyFill="1"/>
    <xf numFmtId="0" fontId="5" fillId="0" borderId="0" xfId="0" applyFont="1" applyFill="1" applyAlignment="1">
      <alignment vertical="center"/>
    </xf>
    <xf numFmtId="164" fontId="3" fillId="0" borderId="0" xfId="0" applyNumberFormat="1" applyFont="1" applyFill="1" applyAlignment="1">
      <alignment horizontal="right"/>
    </xf>
    <xf numFmtId="164" fontId="10" fillId="2" borderId="0" xfId="0" applyNumberFormat="1" applyFont="1" applyFill="1" applyBorder="1" applyAlignment="1">
      <alignment vertical="center"/>
    </xf>
    <xf numFmtId="164" fontId="15" fillId="2" borderId="0" xfId="0" applyNumberFormat="1" applyFont="1" applyFill="1" applyBorder="1" applyAlignment="1">
      <alignment vertical="center"/>
    </xf>
    <xf numFmtId="164" fontId="13" fillId="2" borderId="0" xfId="0" applyNumberFormat="1" applyFont="1" applyFill="1" applyBorder="1" applyAlignment="1">
      <alignment vertical="center"/>
    </xf>
    <xf numFmtId="164" fontId="12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 vertical="center"/>
    </xf>
    <xf numFmtId="0" fontId="4" fillId="3" borderId="9" xfId="0" applyFont="1" applyFill="1" applyBorder="1" applyAlignment="1">
      <alignment horizontal="left" vertical="center"/>
    </xf>
    <xf numFmtId="3" fontId="4" fillId="3" borderId="10" xfId="0" applyNumberFormat="1" applyFont="1" applyFill="1" applyBorder="1" applyAlignment="1">
      <alignment vertical="center"/>
    </xf>
    <xf numFmtId="0" fontId="17" fillId="0" borderId="0" xfId="0" applyFont="1" applyFill="1"/>
    <xf numFmtId="3" fontId="7" fillId="0" borderId="3" xfId="0" applyNumberFormat="1" applyFont="1" applyFill="1" applyBorder="1" applyAlignment="1"/>
    <xf numFmtId="164" fontId="7" fillId="0" borderId="2" xfId="0" applyNumberFormat="1" applyFont="1" applyFill="1" applyBorder="1" applyAlignment="1">
      <alignment horizontal="right"/>
    </xf>
    <xf numFmtId="3" fontId="5" fillId="0" borderId="10" xfId="0" applyNumberFormat="1" applyFont="1" applyFill="1" applyBorder="1" applyAlignment="1">
      <alignment vertical="center"/>
    </xf>
    <xf numFmtId="164" fontId="5" fillId="0" borderId="11" xfId="0" applyNumberFormat="1" applyFont="1" applyFill="1" applyBorder="1" applyAlignment="1">
      <alignment vertical="center"/>
    </xf>
    <xf numFmtId="3" fontId="5" fillId="3" borderId="10" xfId="0" applyNumberFormat="1" applyFont="1" applyFill="1" applyBorder="1" applyAlignment="1">
      <alignment vertical="center"/>
    </xf>
    <xf numFmtId="164" fontId="5" fillId="3" borderId="11" xfId="0" applyNumberFormat="1" applyFont="1" applyFill="1" applyBorder="1" applyAlignment="1">
      <alignment horizontal="right" vertical="top"/>
    </xf>
    <xf numFmtId="0" fontId="13" fillId="0" borderId="0" xfId="0" applyFont="1" applyFill="1"/>
    <xf numFmtId="0" fontId="18" fillId="0" borderId="0" xfId="0" applyFont="1" applyFill="1"/>
    <xf numFmtId="0" fontId="6" fillId="4" borderId="0" xfId="0" applyFont="1" applyFill="1"/>
    <xf numFmtId="0" fontId="6" fillId="5" borderId="0" xfId="0" applyFont="1" applyFill="1"/>
    <xf numFmtId="164" fontId="19" fillId="3" borderId="11" xfId="0" applyNumberFormat="1" applyFont="1" applyFill="1" applyBorder="1" applyAlignment="1">
      <alignment horizontal="right" vertical="center"/>
    </xf>
    <xf numFmtId="3" fontId="4" fillId="3" borderId="10" xfId="0" applyNumberFormat="1" applyFont="1" applyFill="1" applyBorder="1" applyAlignment="1"/>
    <xf numFmtId="0" fontId="4" fillId="3" borderId="0" xfId="0" applyFont="1" applyFill="1" applyAlignment="1"/>
    <xf numFmtId="0" fontId="7" fillId="0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/>
    </xf>
    <xf numFmtId="3" fontId="20" fillId="0" borderId="4" xfId="0" applyNumberFormat="1" applyFont="1" applyFill="1" applyBorder="1" applyAlignment="1">
      <alignment vertical="center"/>
    </xf>
    <xf numFmtId="3" fontId="20" fillId="0" borderId="13" xfId="1" applyNumberFormat="1" applyFont="1" applyFill="1" applyBorder="1" applyAlignment="1">
      <alignment vertical="center"/>
    </xf>
    <xf numFmtId="3" fontId="20" fillId="0" borderId="14" xfId="1" applyNumberFormat="1" applyFont="1" applyFill="1" applyBorder="1" applyAlignment="1">
      <alignment vertical="center"/>
    </xf>
    <xf numFmtId="164" fontId="7" fillId="0" borderId="15" xfId="0" applyNumberFormat="1" applyFont="1" applyFill="1" applyBorder="1" applyAlignment="1">
      <alignment horizontal="right" vertical="center"/>
    </xf>
    <xf numFmtId="0" fontId="21" fillId="0" borderId="0" xfId="0" applyFont="1" applyFill="1"/>
    <xf numFmtId="0" fontId="3" fillId="2" borderId="5" xfId="0" applyFont="1" applyFill="1" applyBorder="1" applyAlignment="1">
      <alignment horizontal="center" vertical="center"/>
    </xf>
    <xf numFmtId="0" fontId="22" fillId="2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22" fillId="3" borderId="6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left" vertical="center"/>
    </xf>
    <xf numFmtId="0" fontId="5" fillId="3" borderId="18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left"/>
    </xf>
    <xf numFmtId="3" fontId="7" fillId="0" borderId="22" xfId="1" applyNumberFormat="1" applyFont="1" applyFill="1" applyBorder="1" applyAlignment="1">
      <alignment vertical="center"/>
    </xf>
    <xf numFmtId="164" fontId="7" fillId="0" borderId="20" xfId="0" applyNumberFormat="1" applyFont="1" applyFill="1" applyBorder="1" applyAlignment="1">
      <alignment horizontal="right" vertical="center"/>
    </xf>
    <xf numFmtId="3" fontId="20" fillId="0" borderId="20" xfId="0" applyNumberFormat="1" applyFont="1" applyFill="1" applyBorder="1" applyAlignment="1">
      <alignment vertical="center"/>
    </xf>
    <xf numFmtId="3" fontId="7" fillId="0" borderId="20" xfId="0" applyNumberFormat="1" applyFont="1" applyFill="1" applyBorder="1" applyAlignment="1">
      <alignment vertical="center"/>
    </xf>
    <xf numFmtId="3" fontId="20" fillId="0" borderId="3" xfId="1" applyNumberFormat="1" applyFont="1" applyFill="1" applyBorder="1" applyAlignment="1">
      <alignment vertical="center"/>
    </xf>
    <xf numFmtId="3" fontId="7" fillId="0" borderId="3" xfId="1" applyNumberFormat="1" applyFont="1" applyFill="1" applyBorder="1" applyAlignment="1">
      <alignment vertical="center"/>
    </xf>
    <xf numFmtId="0" fontId="3" fillId="0" borderId="0" xfId="0" applyFont="1" applyFill="1" applyAlignment="1"/>
    <xf numFmtId="0" fontId="22" fillId="0" borderId="12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/>
    </xf>
    <xf numFmtId="3" fontId="22" fillId="0" borderId="3" xfId="0" applyNumberFormat="1" applyFont="1" applyFill="1" applyBorder="1" applyAlignment="1">
      <alignment vertical="center"/>
    </xf>
    <xf numFmtId="164" fontId="22" fillId="0" borderId="2" xfId="0" applyNumberFormat="1" applyFont="1" applyFill="1" applyBorder="1" applyAlignment="1">
      <alignment horizontal="right" vertical="center"/>
    </xf>
    <xf numFmtId="0" fontId="5" fillId="6" borderId="12" xfId="0" applyFont="1" applyFill="1" applyBorder="1" applyAlignment="1">
      <alignment horizontal="left" vertical="center" wrapText="1"/>
    </xf>
    <xf numFmtId="3" fontId="5" fillId="6" borderId="3" xfId="0" applyNumberFormat="1" applyFont="1" applyFill="1" applyBorder="1" applyAlignment="1">
      <alignment vertical="center"/>
    </xf>
    <xf numFmtId="164" fontId="5" fillId="6" borderId="2" xfId="0" applyNumberFormat="1" applyFont="1" applyFill="1" applyBorder="1"/>
    <xf numFmtId="3" fontId="5" fillId="6" borderId="3" xfId="0" applyNumberFormat="1" applyFont="1" applyFill="1" applyBorder="1"/>
    <xf numFmtId="164" fontId="16" fillId="6" borderId="20" xfId="0" applyNumberFormat="1" applyFont="1" applyFill="1" applyBorder="1" applyAlignment="1">
      <alignment horizontal="right" vertical="center" shrinkToFit="1"/>
    </xf>
    <xf numFmtId="3" fontId="7" fillId="0" borderId="3" xfId="0" applyNumberFormat="1" applyFont="1" applyFill="1" applyBorder="1" applyAlignment="1">
      <alignment horizontal="left" vertical="center"/>
    </xf>
    <xf numFmtId="164" fontId="7" fillId="0" borderId="2" xfId="0" applyNumberFormat="1" applyFont="1" applyFill="1" applyBorder="1" applyAlignment="1">
      <alignment horizontal="left" vertical="center"/>
    </xf>
    <xf numFmtId="0" fontId="22" fillId="0" borderId="12" xfId="0" applyFont="1" applyFill="1" applyBorder="1" applyAlignment="1">
      <alignment horizontal="left" vertical="center"/>
    </xf>
    <xf numFmtId="3" fontId="22" fillId="0" borderId="4" xfId="0" applyNumberFormat="1" applyFont="1" applyFill="1" applyBorder="1" applyAlignment="1">
      <alignment vertical="center"/>
    </xf>
    <xf numFmtId="0" fontId="22" fillId="6" borderId="17" xfId="0" applyFont="1" applyFill="1" applyBorder="1" applyAlignment="1">
      <alignment horizontal="center" vertical="center"/>
    </xf>
    <xf numFmtId="3" fontId="5" fillId="6" borderId="1" xfId="0" applyNumberFormat="1" applyFont="1" applyFill="1" applyBorder="1" applyAlignment="1">
      <alignment horizontal="right" vertical="center"/>
    </xf>
    <xf numFmtId="164" fontId="5" fillId="6" borderId="8" xfId="0" applyNumberFormat="1" applyFont="1" applyFill="1" applyBorder="1" applyAlignment="1">
      <alignment horizontal="right" vertical="center"/>
    </xf>
    <xf numFmtId="0" fontId="5" fillId="6" borderId="0" xfId="0" applyFont="1" applyFill="1" applyAlignment="1">
      <alignment vertical="center"/>
    </xf>
    <xf numFmtId="0" fontId="3" fillId="6" borderId="5" xfId="0" applyFont="1" applyFill="1" applyBorder="1" applyAlignment="1">
      <alignment horizontal="center" vertical="center"/>
    </xf>
    <xf numFmtId="164" fontId="5" fillId="6" borderId="2" xfId="0" applyNumberFormat="1" applyFont="1" applyFill="1" applyBorder="1" applyAlignment="1">
      <alignment horizontal="right" vertical="center"/>
    </xf>
    <xf numFmtId="164" fontId="5" fillId="6" borderId="2" xfId="0" applyNumberFormat="1" applyFont="1" applyFill="1" applyBorder="1" applyAlignment="1">
      <alignment horizontal="right" vertical="center" shrinkToFit="1"/>
    </xf>
    <xf numFmtId="164" fontId="5" fillId="6" borderId="16" xfId="0" applyNumberFormat="1" applyFont="1" applyFill="1" applyBorder="1" applyAlignment="1">
      <alignment horizontal="right" vertical="center"/>
    </xf>
    <xf numFmtId="0" fontId="5" fillId="6" borderId="0" xfId="0" applyFont="1" applyFill="1"/>
    <xf numFmtId="0" fontId="22" fillId="6" borderId="5" xfId="0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left" vertical="center"/>
    </xf>
    <xf numFmtId="0" fontId="5" fillId="6" borderId="19" xfId="0" applyFont="1" applyFill="1" applyBorder="1" applyAlignment="1">
      <alignment horizontal="left" vertical="center" wrapText="1"/>
    </xf>
    <xf numFmtId="3" fontId="5" fillId="6" borderId="1" xfId="0" applyNumberFormat="1" applyFont="1" applyFill="1" applyBorder="1" applyAlignment="1"/>
    <xf numFmtId="0" fontId="5" fillId="6" borderId="20" xfId="0" applyFont="1" applyFill="1" applyBorder="1" applyAlignment="1">
      <alignment horizontal="left"/>
    </xf>
    <xf numFmtId="3" fontId="5" fillId="6" borderId="3" xfId="0" applyNumberFormat="1" applyFont="1" applyFill="1" applyBorder="1" applyAlignment="1"/>
    <xf numFmtId="164" fontId="5" fillId="6" borderId="2" xfId="0" applyNumberFormat="1" applyFont="1" applyFill="1" applyBorder="1" applyAlignment="1">
      <alignment horizontal="right"/>
    </xf>
    <xf numFmtId="0" fontId="5" fillId="6" borderId="0" xfId="0" applyFont="1" applyFill="1" applyAlignment="1"/>
    <xf numFmtId="0" fontId="5" fillId="6" borderId="21" xfId="0" applyFont="1" applyFill="1" applyBorder="1" applyAlignment="1">
      <alignment horizontal="left"/>
    </xf>
    <xf numFmtId="3" fontId="5" fillId="6" borderId="4" xfId="0" applyNumberFormat="1" applyFont="1" applyFill="1" applyBorder="1" applyAlignment="1"/>
    <xf numFmtId="0" fontId="5" fillId="7" borderId="18" xfId="0" applyFont="1" applyFill="1" applyBorder="1" applyAlignment="1">
      <alignment horizontal="left" vertical="center"/>
    </xf>
    <xf numFmtId="3" fontId="5" fillId="7" borderId="10" xfId="0" applyNumberFormat="1" applyFont="1" applyFill="1" applyBorder="1" applyAlignment="1">
      <alignment vertical="center"/>
    </xf>
    <xf numFmtId="3" fontId="23" fillId="0" borderId="0" xfId="0" applyNumberFormat="1" applyFont="1" applyFill="1"/>
    <xf numFmtId="164" fontId="23" fillId="0" borderId="0" xfId="0" applyNumberFormat="1" applyFont="1" applyFill="1" applyBorder="1" applyAlignment="1">
      <alignment horizontal="right"/>
    </xf>
    <xf numFmtId="0" fontId="24" fillId="0" borderId="0" xfId="0" applyFont="1" applyFill="1" applyAlignment="1"/>
    <xf numFmtId="0" fontId="24" fillId="0" borderId="0" xfId="0" applyFont="1" applyFill="1"/>
    <xf numFmtId="0" fontId="6" fillId="0" borderId="0" xfId="0" applyFont="1" applyFill="1" applyBorder="1"/>
    <xf numFmtId="0" fontId="6" fillId="4" borderId="0" xfId="0" applyFont="1" applyFill="1" applyBorder="1"/>
    <xf numFmtId="0" fontId="6" fillId="5" borderId="0" xfId="0" applyFont="1" applyFill="1" applyBorder="1"/>
    <xf numFmtId="3" fontId="25" fillId="0" borderId="0" xfId="0" applyNumberFormat="1" applyFont="1" applyFill="1" applyAlignment="1"/>
    <xf numFmtId="3" fontId="25" fillId="0" borderId="0" xfId="0" applyNumberFormat="1" applyFont="1" applyFill="1"/>
    <xf numFmtId="164" fontId="5" fillId="6" borderId="2" xfId="0" applyNumberFormat="1" applyFont="1" applyFill="1" applyBorder="1" applyAlignment="1">
      <alignment vertical="center"/>
    </xf>
    <xf numFmtId="164" fontId="24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left"/>
    </xf>
    <xf numFmtId="0" fontId="3" fillId="2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left" vertical="center"/>
    </xf>
    <xf numFmtId="3" fontId="5" fillId="0" borderId="34" xfId="0" applyNumberFormat="1" applyFont="1" applyFill="1" applyBorder="1" applyAlignment="1">
      <alignment vertical="center"/>
    </xf>
    <xf numFmtId="164" fontId="5" fillId="0" borderId="35" xfId="0" applyNumberFormat="1" applyFont="1" applyFill="1" applyBorder="1" applyAlignment="1">
      <alignment horizontal="right" vertical="top"/>
    </xf>
    <xf numFmtId="164" fontId="5" fillId="0" borderId="36" xfId="0" applyNumberFormat="1" applyFont="1" applyFill="1" applyBorder="1" applyAlignment="1">
      <alignment horizontal="right" vertical="top"/>
    </xf>
    <xf numFmtId="0" fontId="22" fillId="2" borderId="37" xfId="0" applyFont="1" applyFill="1" applyBorder="1" applyAlignment="1">
      <alignment horizontal="center" vertical="center"/>
    </xf>
    <xf numFmtId="164" fontId="5" fillId="3" borderId="38" xfId="0" applyNumberFormat="1" applyFont="1" applyFill="1" applyBorder="1" applyAlignment="1">
      <alignment horizontal="right" vertical="top"/>
    </xf>
    <xf numFmtId="164" fontId="5" fillId="0" borderId="38" xfId="0" applyNumberFormat="1" applyFont="1" applyFill="1" applyBorder="1" applyAlignment="1">
      <alignment vertical="center"/>
    </xf>
    <xf numFmtId="0" fontId="22" fillId="7" borderId="37" xfId="0" applyFont="1" applyFill="1" applyBorder="1" applyAlignment="1">
      <alignment horizontal="center" vertical="center"/>
    </xf>
    <xf numFmtId="0" fontId="22" fillId="6" borderId="39" xfId="0" applyFont="1" applyFill="1" applyBorder="1" applyAlignment="1">
      <alignment horizontal="center" vertical="center"/>
    </xf>
    <xf numFmtId="164" fontId="5" fillId="6" borderId="40" xfId="0" applyNumberFormat="1" applyFont="1" applyFill="1" applyBorder="1" applyAlignment="1">
      <alignment horizontal="right"/>
    </xf>
    <xf numFmtId="0" fontId="22" fillId="6" borderId="41" xfId="0" applyFont="1" applyFill="1" applyBorder="1" applyAlignment="1">
      <alignment horizontal="center"/>
    </xf>
    <xf numFmtId="0" fontId="22" fillId="0" borderId="41" xfId="0" applyFont="1" applyFill="1" applyBorder="1" applyAlignment="1">
      <alignment horizontal="center" vertical="center"/>
    </xf>
    <xf numFmtId="164" fontId="7" fillId="0" borderId="40" xfId="0" applyNumberFormat="1" applyFont="1" applyFill="1" applyBorder="1" applyAlignment="1">
      <alignment horizontal="right"/>
    </xf>
    <xf numFmtId="0" fontId="22" fillId="0" borderId="41" xfId="0" applyFont="1" applyFill="1" applyBorder="1" applyAlignment="1">
      <alignment horizontal="center"/>
    </xf>
    <xf numFmtId="0" fontId="22" fillId="6" borderId="41" xfId="0" applyFont="1" applyFill="1" applyBorder="1" applyAlignment="1">
      <alignment horizontal="center" vertical="center"/>
    </xf>
    <xf numFmtId="164" fontId="7" fillId="0" borderId="40" xfId="0" applyNumberFormat="1" applyFont="1" applyFill="1" applyBorder="1" applyAlignment="1">
      <alignment horizontal="right" vertical="center"/>
    </xf>
    <xf numFmtId="0" fontId="22" fillId="0" borderId="42" xfId="0" applyFont="1" applyFill="1" applyBorder="1" applyAlignment="1">
      <alignment horizontal="center" vertical="center"/>
    </xf>
    <xf numFmtId="3" fontId="27" fillId="0" borderId="0" xfId="0" applyNumberFormat="1" applyFont="1" applyFill="1" applyAlignment="1">
      <alignment horizontal="left"/>
    </xf>
    <xf numFmtId="3" fontId="26" fillId="6" borderId="3" xfId="0" applyNumberFormat="1" applyFont="1" applyFill="1" applyBorder="1" applyAlignment="1">
      <alignment vertical="center"/>
    </xf>
    <xf numFmtId="3" fontId="30" fillId="0" borderId="12" xfId="0" applyNumberFormat="1" applyFont="1" applyFill="1" applyBorder="1" applyAlignment="1">
      <alignment vertical="center"/>
    </xf>
    <xf numFmtId="3" fontId="28" fillId="0" borderId="12" xfId="0" applyNumberFormat="1" applyFont="1" applyFill="1" applyBorder="1" applyAlignment="1">
      <alignment horizontal="left" vertical="center"/>
    </xf>
    <xf numFmtId="3" fontId="26" fillId="6" borderId="12" xfId="0" applyNumberFormat="1" applyFont="1" applyFill="1" applyBorder="1" applyAlignment="1">
      <alignment vertical="center"/>
    </xf>
    <xf numFmtId="3" fontId="26" fillId="6" borderId="12" xfId="0" applyNumberFormat="1" applyFont="1" applyFill="1" applyBorder="1"/>
    <xf numFmtId="3" fontId="30" fillId="0" borderId="49" xfId="0" applyNumberFormat="1" applyFont="1" applyFill="1" applyBorder="1" applyAlignment="1">
      <alignment vertical="center"/>
    </xf>
    <xf numFmtId="3" fontId="30" fillId="0" borderId="46" xfId="0" applyNumberFormat="1" applyFont="1" applyFill="1" applyBorder="1" applyAlignment="1">
      <alignment vertical="center"/>
    </xf>
    <xf numFmtId="3" fontId="28" fillId="0" borderId="49" xfId="0" applyNumberFormat="1" applyFont="1" applyFill="1" applyBorder="1" applyAlignment="1">
      <alignment vertical="center"/>
    </xf>
    <xf numFmtId="3" fontId="29" fillId="2" borderId="0" xfId="0" applyNumberFormat="1" applyFont="1" applyFill="1" applyBorder="1" applyAlignment="1">
      <alignment vertical="center"/>
    </xf>
    <xf numFmtId="3" fontId="26" fillId="3" borderId="9" xfId="0" applyNumberFormat="1" applyFont="1" applyFill="1" applyBorder="1" applyAlignment="1">
      <alignment vertical="center"/>
    </xf>
    <xf numFmtId="3" fontId="26" fillId="7" borderId="9" xfId="0" applyNumberFormat="1" applyFont="1" applyFill="1" applyBorder="1" applyAlignment="1">
      <alignment vertical="center"/>
    </xf>
    <xf numFmtId="3" fontId="26" fillId="6" borderId="48" xfId="0" applyNumberFormat="1" applyFont="1" applyFill="1" applyBorder="1" applyAlignment="1"/>
    <xf numFmtId="3" fontId="26" fillId="6" borderId="12" xfId="0" applyNumberFormat="1" applyFont="1" applyFill="1" applyBorder="1" applyAlignment="1"/>
    <xf numFmtId="3" fontId="31" fillId="0" borderId="0" xfId="0" applyNumberFormat="1" applyFont="1" applyFill="1"/>
    <xf numFmtId="3" fontId="29" fillId="0" borderId="0" xfId="0" applyNumberFormat="1" applyFont="1" applyFill="1" applyAlignment="1"/>
    <xf numFmtId="3" fontId="30" fillId="0" borderId="5" xfId="0" applyNumberFormat="1" applyFont="1" applyFill="1" applyBorder="1" applyAlignment="1">
      <alignment vertical="center"/>
    </xf>
    <xf numFmtId="3" fontId="30" fillId="8" borderId="3" xfId="0" applyNumberFormat="1" applyFont="1" applyFill="1" applyBorder="1" applyAlignment="1">
      <alignment vertical="center"/>
    </xf>
    <xf numFmtId="3" fontId="28" fillId="8" borderId="12" xfId="0" applyNumberFormat="1" applyFont="1" applyFill="1" applyBorder="1" applyAlignment="1">
      <alignment horizontal="left" vertical="center"/>
    </xf>
    <xf numFmtId="3" fontId="5" fillId="0" borderId="0" xfId="0" applyNumberFormat="1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3" fontId="6" fillId="0" borderId="0" xfId="0" applyNumberFormat="1" applyFont="1" applyFill="1" applyBorder="1" applyAlignment="1"/>
    <xf numFmtId="164" fontId="7" fillId="0" borderId="0" xfId="0" applyNumberFormat="1" applyFont="1" applyFill="1" applyBorder="1" applyAlignment="1">
      <alignment horizontal="right" vertical="center"/>
    </xf>
    <xf numFmtId="0" fontId="5" fillId="6" borderId="48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5" fillId="6" borderId="12" xfId="0" applyFont="1" applyFill="1" applyBorder="1" applyAlignment="1">
      <alignment vertical="center"/>
    </xf>
    <xf numFmtId="0" fontId="4" fillId="3" borderId="9" xfId="0" applyFont="1" applyFill="1" applyBorder="1" applyAlignment="1"/>
    <xf numFmtId="3" fontId="4" fillId="3" borderId="6" xfId="0" applyNumberFormat="1" applyFont="1" applyFill="1" applyBorder="1" applyAlignment="1"/>
    <xf numFmtId="3" fontId="22" fillId="0" borderId="24" xfId="0" applyNumberFormat="1" applyFont="1" applyFill="1" applyBorder="1" applyAlignment="1"/>
    <xf numFmtId="3" fontId="29" fillId="0" borderId="24" xfId="0" applyNumberFormat="1" applyFont="1" applyFill="1" applyBorder="1" applyAlignment="1"/>
    <xf numFmtId="164" fontId="10" fillId="0" borderId="52" xfId="0" applyNumberFormat="1" applyFont="1" applyFill="1" applyBorder="1" applyAlignment="1"/>
    <xf numFmtId="164" fontId="15" fillId="0" borderId="52" xfId="0" applyNumberFormat="1" applyFont="1" applyFill="1" applyBorder="1" applyAlignment="1"/>
    <xf numFmtId="3" fontId="15" fillId="0" borderId="52" xfId="0" applyNumberFormat="1" applyFont="1" applyFill="1" applyBorder="1" applyAlignment="1"/>
    <xf numFmtId="3" fontId="13" fillId="0" borderId="52" xfId="0" applyNumberFormat="1" applyFont="1" applyFill="1" applyBorder="1" applyAlignment="1"/>
    <xf numFmtId="0" fontId="22" fillId="0" borderId="23" xfId="0" applyFont="1" applyFill="1" applyBorder="1" applyAlignment="1">
      <alignment vertical="center"/>
    </xf>
    <xf numFmtId="0" fontId="4" fillId="7" borderId="6" xfId="0" applyFont="1" applyFill="1" applyBorder="1" applyAlignment="1">
      <alignment vertical="center"/>
    </xf>
    <xf numFmtId="3" fontId="4" fillId="7" borderId="6" xfId="0" applyNumberFormat="1" applyFont="1" applyFill="1" applyBorder="1" applyAlignment="1"/>
    <xf numFmtId="164" fontId="19" fillId="3" borderId="18" xfId="0" applyNumberFormat="1" applyFont="1" applyFill="1" applyBorder="1" applyAlignment="1">
      <alignment horizontal="right"/>
    </xf>
    <xf numFmtId="164" fontId="5" fillId="6" borderId="20" xfId="0" applyNumberFormat="1" applyFont="1" applyFill="1" applyBorder="1" applyAlignment="1">
      <alignment horizontal="right" vertical="center"/>
    </xf>
    <xf numFmtId="3" fontId="10" fillId="0" borderId="27" xfId="0" applyNumberFormat="1" applyFont="1" applyFill="1" applyBorder="1" applyAlignment="1"/>
    <xf numFmtId="3" fontId="15" fillId="0" borderId="27" xfId="0" applyNumberFormat="1" applyFont="1" applyFill="1" applyBorder="1" applyAlignment="1"/>
    <xf numFmtId="3" fontId="13" fillId="0" borderId="27" xfId="0" applyNumberFormat="1" applyFont="1" applyFill="1" applyBorder="1" applyAlignment="1"/>
    <xf numFmtId="3" fontId="22" fillId="0" borderId="27" xfId="0" applyNumberFormat="1" applyFont="1" applyFill="1" applyBorder="1" applyAlignment="1"/>
    <xf numFmtId="3" fontId="4" fillId="7" borderId="10" xfId="0" applyNumberFormat="1" applyFont="1" applyFill="1" applyBorder="1" applyAlignment="1"/>
    <xf numFmtId="0" fontId="1" fillId="0" borderId="23" xfId="0" applyFont="1" applyFill="1" applyBorder="1" applyAlignment="1">
      <alignment horizontal="center"/>
    </xf>
    <xf numFmtId="0" fontId="1" fillId="7" borderId="6" xfId="0" applyFont="1" applyFill="1" applyBorder="1" applyAlignment="1">
      <alignment horizontal="center"/>
    </xf>
    <xf numFmtId="164" fontId="22" fillId="0" borderId="20" xfId="0" applyNumberFormat="1" applyFont="1" applyFill="1" applyBorder="1" applyAlignment="1">
      <alignment horizontal="right" vertical="center"/>
    </xf>
    <xf numFmtId="164" fontId="7" fillId="8" borderId="2" xfId="0" applyNumberFormat="1" applyFont="1" applyFill="1" applyBorder="1" applyAlignment="1">
      <alignment horizontal="right" vertical="center"/>
    </xf>
    <xf numFmtId="3" fontId="7" fillId="8" borderId="3" xfId="0" applyNumberFormat="1" applyFont="1" applyFill="1" applyBorder="1" applyAlignment="1">
      <alignment horizontal="left" vertical="center"/>
    </xf>
    <xf numFmtId="164" fontId="5" fillId="7" borderId="11" xfId="0" applyNumberFormat="1" applyFont="1" applyFill="1" applyBorder="1" applyAlignment="1">
      <alignment horizontal="right" vertical="top" shrinkToFit="1"/>
    </xf>
    <xf numFmtId="164" fontId="28" fillId="0" borderId="5" xfId="0" applyNumberFormat="1" applyFont="1" applyFill="1" applyBorder="1" applyAlignment="1">
      <alignment horizontal="right" vertical="center"/>
    </xf>
    <xf numFmtId="164" fontId="26" fillId="6" borderId="5" xfId="0" applyNumberFormat="1" applyFont="1" applyFill="1" applyBorder="1" applyAlignment="1">
      <alignment horizontal="right" vertical="center"/>
    </xf>
    <xf numFmtId="164" fontId="28" fillId="0" borderId="5" xfId="0" applyNumberFormat="1" applyFont="1" applyFill="1" applyBorder="1" applyAlignment="1">
      <alignment vertical="center"/>
    </xf>
    <xf numFmtId="164" fontId="7" fillId="0" borderId="3" xfId="0" applyNumberFormat="1" applyFont="1" applyFill="1" applyBorder="1" applyAlignment="1">
      <alignment vertical="center"/>
    </xf>
    <xf numFmtId="164" fontId="26" fillId="6" borderId="7" xfId="0" applyNumberFormat="1" applyFont="1" applyFill="1" applyBorder="1" applyAlignment="1">
      <alignment horizontal="right" vertical="center"/>
    </xf>
    <xf numFmtId="164" fontId="28" fillId="0" borderId="7" xfId="0" applyNumberFormat="1" applyFont="1" applyFill="1" applyBorder="1" applyAlignment="1">
      <alignment horizontal="right" vertical="center"/>
    </xf>
    <xf numFmtId="3" fontId="5" fillId="6" borderId="3" xfId="0" applyNumberFormat="1" applyFont="1" applyFill="1" applyBorder="1" applyAlignment="1">
      <alignment horizontal="right" vertical="center"/>
    </xf>
    <xf numFmtId="3" fontId="7" fillId="0" borderId="3" xfId="0" applyNumberFormat="1" applyFont="1" applyFill="1" applyBorder="1" applyAlignment="1">
      <alignment horizontal="right" vertical="center"/>
    </xf>
    <xf numFmtId="3" fontId="7" fillId="8" borderId="3" xfId="0" applyNumberFormat="1" applyFont="1" applyFill="1" applyBorder="1" applyAlignment="1">
      <alignment horizontal="right" vertical="center"/>
    </xf>
    <xf numFmtId="3" fontId="32" fillId="8" borderId="12" xfId="0" applyNumberFormat="1" applyFont="1" applyFill="1" applyBorder="1" applyAlignment="1">
      <alignment horizontal="left" vertical="center"/>
    </xf>
    <xf numFmtId="3" fontId="22" fillId="8" borderId="3" xfId="0" applyNumberFormat="1" applyFont="1" applyFill="1" applyBorder="1" applyAlignment="1">
      <alignment vertical="center"/>
    </xf>
    <xf numFmtId="3" fontId="7" fillId="8" borderId="3" xfId="0" applyNumberFormat="1" applyFont="1" applyFill="1" applyBorder="1" applyAlignment="1">
      <alignment horizontal="left" vertical="center" indent="1"/>
    </xf>
    <xf numFmtId="3" fontId="7" fillId="0" borderId="12" xfId="0" applyNumberFormat="1" applyFont="1" applyFill="1" applyBorder="1"/>
    <xf numFmtId="3" fontId="7" fillId="0" borderId="49" xfId="0" applyNumberFormat="1" applyFont="1" applyFill="1" applyBorder="1"/>
    <xf numFmtId="3" fontId="7" fillId="0" borderId="4" xfId="0" applyNumberFormat="1" applyFont="1" applyFill="1" applyBorder="1" applyAlignment="1"/>
    <xf numFmtId="3" fontId="5" fillId="6" borderId="49" xfId="0" applyNumberFormat="1" applyFont="1" applyFill="1" applyBorder="1" applyAlignment="1"/>
    <xf numFmtId="3" fontId="6" fillId="0" borderId="0" xfId="0" applyNumberFormat="1" applyFont="1" applyFill="1" applyBorder="1"/>
    <xf numFmtId="0" fontId="1" fillId="0" borderId="0" xfId="0" applyFont="1" applyFill="1" applyBorder="1"/>
    <xf numFmtId="3" fontId="1" fillId="0" borderId="0" xfId="0" applyNumberFormat="1" applyFont="1" applyFill="1" applyBorder="1"/>
    <xf numFmtId="3" fontId="6" fillId="4" borderId="0" xfId="0" applyNumberFormat="1" applyFont="1" applyFill="1" applyBorder="1"/>
    <xf numFmtId="3" fontId="6" fillId="5" borderId="0" xfId="0" applyNumberFormat="1" applyFont="1" applyFill="1" applyBorder="1"/>
    <xf numFmtId="0" fontId="7" fillId="0" borderId="43" xfId="0" applyFont="1" applyFill="1" applyBorder="1" applyAlignment="1">
      <alignment horizontal="left"/>
    </xf>
    <xf numFmtId="3" fontId="7" fillId="0" borderId="50" xfId="0" applyNumberFormat="1" applyFont="1" applyFill="1" applyBorder="1"/>
    <xf numFmtId="3" fontId="7" fillId="0" borderId="44" xfId="0" applyNumberFormat="1" applyFont="1" applyFill="1" applyBorder="1" applyAlignment="1"/>
    <xf numFmtId="164" fontId="7" fillId="0" borderId="53" xfId="0" applyNumberFormat="1" applyFont="1" applyFill="1" applyBorder="1" applyAlignment="1">
      <alignment horizontal="right" vertical="center"/>
    </xf>
    <xf numFmtId="164" fontId="7" fillId="0" borderId="45" xfId="0" applyNumberFormat="1" applyFont="1" applyFill="1" applyBorder="1" applyAlignment="1">
      <alignment horizontal="right" vertical="center"/>
    </xf>
    <xf numFmtId="0" fontId="2" fillId="3" borderId="27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164" fontId="6" fillId="3" borderId="29" xfId="0" applyNumberFormat="1" applyFont="1" applyFill="1" applyBorder="1" applyAlignment="1">
      <alignment horizontal="center" vertical="center" wrapText="1"/>
    </xf>
    <xf numFmtId="164" fontId="6" fillId="3" borderId="30" xfId="0" applyNumberFormat="1" applyFont="1" applyFill="1" applyBorder="1" applyAlignment="1">
      <alignment horizontal="center" vertical="center" wrapText="1"/>
    </xf>
    <xf numFmtId="164" fontId="22" fillId="0" borderId="31" xfId="0" applyNumberFormat="1" applyFont="1" applyFill="1" applyBorder="1" applyAlignment="1">
      <alignment horizontal="right" vertical="center" wrapText="1"/>
    </xf>
    <xf numFmtId="0" fontId="0" fillId="0" borderId="29" xfId="0" applyBorder="1" applyAlignment="1">
      <alignment horizontal="right" vertical="center" wrapText="1"/>
    </xf>
    <xf numFmtId="3" fontId="22" fillId="0" borderId="4" xfId="0" applyNumberFormat="1" applyFont="1" applyFill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164" fontId="22" fillId="0" borderId="29" xfId="0" applyNumberFormat="1" applyFont="1" applyFill="1" applyBorder="1" applyAlignment="1">
      <alignment horizontal="right" vertical="center" wrapText="1"/>
    </xf>
    <xf numFmtId="164" fontId="22" fillId="0" borderId="8" xfId="0" applyNumberFormat="1" applyFont="1" applyFill="1" applyBorder="1" applyAlignment="1">
      <alignment horizontal="right" vertical="center" wrapText="1"/>
    </xf>
    <xf numFmtId="3" fontId="4" fillId="3" borderId="9" xfId="0" applyNumberFormat="1" applyFont="1" applyFill="1" applyBorder="1" applyAlignment="1">
      <alignment horizontal="center"/>
    </xf>
    <xf numFmtId="3" fontId="4" fillId="3" borderId="26" xfId="0" applyNumberFormat="1" applyFont="1" applyFill="1" applyBorder="1" applyAlignment="1">
      <alignment horizontal="center"/>
    </xf>
    <xf numFmtId="3" fontId="4" fillId="3" borderId="18" xfId="0" applyNumberFormat="1" applyFont="1" applyFill="1" applyBorder="1" applyAlignment="1">
      <alignment horizontal="center"/>
    </xf>
    <xf numFmtId="3" fontId="26" fillId="3" borderId="51" xfId="0" applyNumberFormat="1" applyFont="1" applyFill="1" applyBorder="1" applyAlignment="1">
      <alignment horizontal="center" vertical="center" wrapText="1"/>
    </xf>
    <xf numFmtId="3" fontId="26" fillId="3" borderId="24" xfId="0" applyNumberFormat="1" applyFont="1" applyFill="1" applyBorder="1" applyAlignment="1">
      <alignment horizontal="center" vertical="center" wrapText="1"/>
    </xf>
    <xf numFmtId="3" fontId="26" fillId="3" borderId="25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14" fillId="3" borderId="51" xfId="0" applyFont="1" applyFill="1" applyBorder="1" applyAlignment="1">
      <alignment horizontal="center" vertical="center"/>
    </xf>
    <xf numFmtId="0" fontId="14" fillId="3" borderId="46" xfId="0" applyFont="1" applyFill="1" applyBorder="1" applyAlignment="1">
      <alignment horizontal="center" vertical="center"/>
    </xf>
    <xf numFmtId="0" fontId="14" fillId="3" borderId="47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 textRotation="90"/>
    </xf>
    <xf numFmtId="0" fontId="6" fillId="3" borderId="24" xfId="0" applyFont="1" applyFill="1" applyBorder="1" applyAlignment="1">
      <alignment horizontal="center" vertical="center" textRotation="90"/>
    </xf>
    <xf numFmtId="0" fontId="6" fillId="3" borderId="25" xfId="0" applyFont="1" applyFill="1" applyBorder="1" applyAlignment="1">
      <alignment horizontal="center" vertical="center" textRotation="90"/>
    </xf>
    <xf numFmtId="0" fontId="14" fillId="3" borderId="23" xfId="0" applyFont="1" applyFill="1" applyBorder="1" applyAlignment="1">
      <alignment horizontal="center" vertical="center"/>
    </xf>
    <xf numFmtId="0" fontId="14" fillId="3" borderId="24" xfId="0" applyFont="1" applyFill="1" applyBorder="1" applyAlignment="1">
      <alignment horizontal="center" vertical="center"/>
    </xf>
    <xf numFmtId="0" fontId="14" fillId="3" borderId="25" xfId="0" applyFont="1" applyFill="1" applyBorder="1" applyAlignment="1">
      <alignment horizontal="center" vertical="center"/>
    </xf>
  </cellXfs>
  <cellStyles count="2">
    <cellStyle name="Normální" xfId="0" builtinId="0"/>
    <cellStyle name="normální_Sešit1" xfId="1"/>
  </cellStyles>
  <dxfs count="0"/>
  <tableStyles count="0" defaultTableStyle="TableStyleMedium2" defaultPivotStyle="PivotStyleLight16"/>
  <colors>
    <mruColors>
      <color rgb="FFCC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A128"/>
  <sheetViews>
    <sheetView showGridLines="0" tabSelected="1" view="pageBreakPreview" topLeftCell="A21" zoomScaleNormal="100" zoomScaleSheetLayoutView="100" workbookViewId="0">
      <selection activeCell="O15" sqref="O15"/>
    </sheetView>
  </sheetViews>
  <sheetFormatPr defaultRowHeight="12.75" x14ac:dyDescent="0.2"/>
  <cols>
    <col min="1" max="1" width="5.28515625" style="2" customWidth="1"/>
    <col min="2" max="2" width="54.140625" style="2" customWidth="1"/>
    <col min="3" max="3" width="20.28515625" style="152" customWidth="1"/>
    <col min="4" max="4" width="20.28515625" style="14" customWidth="1"/>
    <col min="5" max="5" width="7.140625" style="35" customWidth="1"/>
    <col min="6" max="6" width="20.28515625" style="14" customWidth="1"/>
    <col min="7" max="7" width="7.140625" style="35" customWidth="1"/>
    <col min="8" max="8" width="20.28515625" style="14" customWidth="1"/>
    <col min="9" max="9" width="7.140625" style="35" customWidth="1"/>
    <col min="10" max="16384" width="9.140625" style="2"/>
  </cols>
  <sheetData>
    <row r="1" spans="1:183" ht="25.5" customHeight="1" x14ac:dyDescent="0.25">
      <c r="A1" s="1" t="s">
        <v>74</v>
      </c>
      <c r="C1" s="138"/>
      <c r="D1" s="1"/>
      <c r="E1" s="31"/>
      <c r="F1" s="1"/>
      <c r="G1" s="2"/>
      <c r="H1" s="1"/>
      <c r="I1" s="2"/>
    </row>
    <row r="2" spans="1:183" ht="18.75" thickBot="1" x14ac:dyDescent="0.3">
      <c r="A2" s="1"/>
      <c r="C2" s="138"/>
      <c r="D2" s="1"/>
      <c r="E2" s="31"/>
      <c r="F2" s="1"/>
      <c r="G2" s="31"/>
      <c r="H2" s="1"/>
      <c r="I2" s="31" t="s">
        <v>37</v>
      </c>
    </row>
    <row r="3" spans="1:183" ht="17.25" customHeight="1" thickTop="1" thickBot="1" x14ac:dyDescent="0.3">
      <c r="A3" s="234" t="s">
        <v>34</v>
      </c>
      <c r="B3" s="231" t="s">
        <v>17</v>
      </c>
      <c r="C3" s="227" t="s">
        <v>72</v>
      </c>
      <c r="D3" s="224" t="s">
        <v>79</v>
      </c>
      <c r="E3" s="225"/>
      <c r="F3" s="225"/>
      <c r="G3" s="225"/>
      <c r="H3" s="225"/>
      <c r="I3" s="226"/>
    </row>
    <row r="4" spans="1:183" s="3" customFormat="1" ht="18.75" customHeight="1" thickTop="1" x14ac:dyDescent="0.2">
      <c r="A4" s="235"/>
      <c r="B4" s="232"/>
      <c r="C4" s="228"/>
      <c r="D4" s="214">
        <v>2018</v>
      </c>
      <c r="E4" s="216" t="s">
        <v>62</v>
      </c>
      <c r="F4" s="214">
        <v>2019</v>
      </c>
      <c r="G4" s="216" t="s">
        <v>71</v>
      </c>
      <c r="H4" s="214">
        <v>2020</v>
      </c>
      <c r="I4" s="216" t="s">
        <v>73</v>
      </c>
    </row>
    <row r="5" spans="1:183" s="4" customFormat="1" ht="31.5" customHeight="1" x14ac:dyDescent="0.2">
      <c r="A5" s="235"/>
      <c r="B5" s="232"/>
      <c r="C5" s="228"/>
      <c r="D5" s="214"/>
      <c r="E5" s="216"/>
      <c r="F5" s="214"/>
      <c r="G5" s="216"/>
      <c r="H5" s="214"/>
      <c r="I5" s="216"/>
    </row>
    <row r="6" spans="1:183" s="4" customFormat="1" ht="13.5" customHeight="1" thickBot="1" x14ac:dyDescent="0.25">
      <c r="A6" s="236"/>
      <c r="B6" s="233"/>
      <c r="C6" s="229"/>
      <c r="D6" s="215"/>
      <c r="E6" s="217"/>
      <c r="F6" s="215"/>
      <c r="G6" s="217"/>
      <c r="H6" s="215"/>
      <c r="I6" s="217"/>
    </row>
    <row r="7" spans="1:183" s="90" customFormat="1" ht="17.100000000000001" customHeight="1" thickTop="1" x14ac:dyDescent="0.2">
      <c r="A7" s="87">
        <v>1</v>
      </c>
      <c r="B7" s="161" t="s">
        <v>0</v>
      </c>
      <c r="C7" s="192">
        <f>SUM(C8:C9)</f>
        <v>4101290</v>
      </c>
      <c r="D7" s="88">
        <f>SUM(D8:D9)</f>
        <v>4203790</v>
      </c>
      <c r="E7" s="89">
        <f>D7/C7*100</f>
        <v>102.49921366204291</v>
      </c>
      <c r="F7" s="88">
        <f>SUM(F8:F9)</f>
        <v>4287840</v>
      </c>
      <c r="G7" s="89">
        <f>F7/D7*100</f>
        <v>101.9993862681057</v>
      </c>
      <c r="H7" s="88">
        <f>SUM(H8:H9)</f>
        <v>4373571</v>
      </c>
      <c r="I7" s="89">
        <f>H7/F7*100</f>
        <v>101.99939829844398</v>
      </c>
    </row>
    <row r="8" spans="1:183" s="5" customFormat="1" ht="17.100000000000001" customHeight="1" x14ac:dyDescent="0.2">
      <c r="A8" s="60">
        <v>2</v>
      </c>
      <c r="B8" s="162" t="s">
        <v>9</v>
      </c>
      <c r="C8" s="193">
        <v>4100000</v>
      </c>
      <c r="D8" s="25">
        <f>C8*1.025</f>
        <v>4202500</v>
      </c>
      <c r="E8" s="26">
        <f>D8/C8*100</f>
        <v>102.49999999999999</v>
      </c>
      <c r="F8" s="25">
        <f>D8*1.02</f>
        <v>4286550</v>
      </c>
      <c r="G8" s="26">
        <f>F8/D8*100</f>
        <v>102</v>
      </c>
      <c r="H8" s="25">
        <f>F8*1.02</f>
        <v>4372281</v>
      </c>
      <c r="I8" s="26">
        <f>H8/F8*100</f>
        <v>102</v>
      </c>
    </row>
    <row r="9" spans="1:183" s="5" customFormat="1" ht="17.100000000000001" customHeight="1" x14ac:dyDescent="0.2">
      <c r="A9" s="60">
        <v>3</v>
      </c>
      <c r="B9" s="162" t="s">
        <v>10</v>
      </c>
      <c r="C9" s="193">
        <v>1290</v>
      </c>
      <c r="D9" s="25">
        <f>C9</f>
        <v>1290</v>
      </c>
      <c r="E9" s="26">
        <f t="shared" ref="E9:E18" si="0">D9/C9*100</f>
        <v>100</v>
      </c>
      <c r="F9" s="25">
        <f>D9</f>
        <v>1290</v>
      </c>
      <c r="G9" s="26">
        <f>F9/D9*100</f>
        <v>100</v>
      </c>
      <c r="H9" s="25">
        <f>F9</f>
        <v>1290</v>
      </c>
      <c r="I9" s="26">
        <f>H9/F9*100</f>
        <v>100</v>
      </c>
    </row>
    <row r="10" spans="1:183" s="90" customFormat="1" ht="17.100000000000001" customHeight="1" x14ac:dyDescent="0.2">
      <c r="A10" s="91">
        <v>4</v>
      </c>
      <c r="B10" s="163" t="s">
        <v>1</v>
      </c>
      <c r="C10" s="189">
        <f>SUM(C11:C18)</f>
        <v>311168.59999999998</v>
      </c>
      <c r="D10" s="194">
        <f>SUM(D11:D18)</f>
        <v>305269</v>
      </c>
      <c r="E10" s="92">
        <f t="shared" si="0"/>
        <v>98.104050344411363</v>
      </c>
      <c r="F10" s="194">
        <f>SUM(F11:F18)</f>
        <v>304719</v>
      </c>
      <c r="G10" s="92">
        <f>F10/D10*100</f>
        <v>99.819831034268134</v>
      </c>
      <c r="H10" s="194">
        <f>SUM(H11:H18)</f>
        <v>305285</v>
      </c>
      <c r="I10" s="92">
        <f>H10/F10*100</f>
        <v>100.18574489939911</v>
      </c>
      <c r="GA10" s="90">
        <v>761937.54647170787</v>
      </c>
    </row>
    <row r="11" spans="1:183" s="5" customFormat="1" ht="17.100000000000001" customHeight="1" x14ac:dyDescent="0.2">
      <c r="A11" s="60">
        <v>5</v>
      </c>
      <c r="B11" s="162" t="s">
        <v>12</v>
      </c>
      <c r="C11" s="188">
        <v>31179.200000000001</v>
      </c>
      <c r="D11" s="195">
        <v>31179</v>
      </c>
      <c r="E11" s="26">
        <f t="shared" si="0"/>
        <v>99.999358546723442</v>
      </c>
      <c r="F11" s="195">
        <f>D11</f>
        <v>31179</v>
      </c>
      <c r="G11" s="26">
        <f>F11/D11*100</f>
        <v>100</v>
      </c>
      <c r="H11" s="195">
        <f>F11</f>
        <v>31179</v>
      </c>
      <c r="I11" s="26">
        <f>H11/F11*100</f>
        <v>100</v>
      </c>
    </row>
    <row r="12" spans="1:183" s="5" customFormat="1" ht="17.100000000000001" customHeight="1" x14ac:dyDescent="0.2">
      <c r="A12" s="60">
        <v>6</v>
      </c>
      <c r="B12" s="162" t="s">
        <v>13</v>
      </c>
      <c r="C12" s="188">
        <v>2480</v>
      </c>
      <c r="D12" s="195">
        <f>C12</f>
        <v>2480</v>
      </c>
      <c r="E12" s="26">
        <f t="shared" si="0"/>
        <v>100</v>
      </c>
      <c r="F12" s="195">
        <f>D12</f>
        <v>2480</v>
      </c>
      <c r="G12" s="26">
        <f t="shared" ref="G12:G18" si="1">F12/D12*100</f>
        <v>100</v>
      </c>
      <c r="H12" s="195">
        <f>F12</f>
        <v>2480</v>
      </c>
      <c r="I12" s="26">
        <f t="shared" ref="I12:I18" si="2">H12/F12*100</f>
        <v>100</v>
      </c>
    </row>
    <row r="13" spans="1:183" s="5" customFormat="1" ht="17.100000000000001" customHeight="1" x14ac:dyDescent="0.2">
      <c r="A13" s="60">
        <v>7</v>
      </c>
      <c r="B13" s="162" t="s">
        <v>56</v>
      </c>
      <c r="C13" s="188">
        <f>40192+1310</f>
        <v>41502</v>
      </c>
      <c r="D13" s="195">
        <f t="shared" ref="D13" si="3">C13</f>
        <v>41502</v>
      </c>
      <c r="E13" s="26">
        <f t="shared" si="0"/>
        <v>100</v>
      </c>
      <c r="F13" s="195">
        <f t="shared" ref="F13:F18" si="4">D13</f>
        <v>41502</v>
      </c>
      <c r="G13" s="26">
        <f t="shared" si="1"/>
        <v>100</v>
      </c>
      <c r="H13" s="195">
        <f>F13+566</f>
        <v>42068</v>
      </c>
      <c r="I13" s="26">
        <f t="shared" si="2"/>
        <v>101.36378969688207</v>
      </c>
    </row>
    <row r="14" spans="1:183" s="5" customFormat="1" ht="17.100000000000001" customHeight="1" x14ac:dyDescent="0.2">
      <c r="A14" s="60">
        <v>8</v>
      </c>
      <c r="B14" s="162" t="s">
        <v>14</v>
      </c>
      <c r="C14" s="188">
        <v>1000.4</v>
      </c>
      <c r="D14" s="195">
        <v>1001</v>
      </c>
      <c r="E14" s="26">
        <f t="shared" si="0"/>
        <v>100.05997600959617</v>
      </c>
      <c r="F14" s="195">
        <v>1151</v>
      </c>
      <c r="G14" s="26">
        <f t="shared" si="1"/>
        <v>114.98501498501498</v>
      </c>
      <c r="H14" s="195">
        <v>1151</v>
      </c>
      <c r="I14" s="26">
        <f t="shared" si="2"/>
        <v>100</v>
      </c>
    </row>
    <row r="15" spans="1:183" s="5" customFormat="1" ht="17.100000000000001" customHeight="1" x14ac:dyDescent="0.2">
      <c r="A15" s="60">
        <v>9</v>
      </c>
      <c r="B15" s="162" t="s">
        <v>15</v>
      </c>
      <c r="C15" s="188">
        <v>170165</v>
      </c>
      <c r="D15" s="195">
        <f>C15</f>
        <v>170165</v>
      </c>
      <c r="E15" s="26">
        <f t="shared" si="0"/>
        <v>100</v>
      </c>
      <c r="F15" s="195">
        <f>D15</f>
        <v>170165</v>
      </c>
      <c r="G15" s="26">
        <f t="shared" si="1"/>
        <v>100</v>
      </c>
      <c r="H15" s="195">
        <f>F15</f>
        <v>170165</v>
      </c>
      <c r="I15" s="26">
        <f t="shared" si="2"/>
        <v>100</v>
      </c>
    </row>
    <row r="16" spans="1:183" s="5" customFormat="1" ht="17.100000000000001" customHeight="1" x14ac:dyDescent="0.2">
      <c r="A16" s="60">
        <v>10</v>
      </c>
      <c r="B16" s="162" t="s">
        <v>31</v>
      </c>
      <c r="C16" s="188">
        <v>6600</v>
      </c>
      <c r="D16" s="196">
        <v>700</v>
      </c>
      <c r="E16" s="185">
        <f t="shared" si="0"/>
        <v>10.606060606060606</v>
      </c>
      <c r="F16" s="196">
        <v>0</v>
      </c>
      <c r="G16" s="26">
        <f t="shared" si="1"/>
        <v>0</v>
      </c>
      <c r="H16" s="196">
        <v>0</v>
      </c>
      <c r="I16" s="26">
        <v>0</v>
      </c>
    </row>
    <row r="17" spans="1:9" s="5" customFormat="1" ht="17.100000000000001" customHeight="1" x14ac:dyDescent="0.2">
      <c r="A17" s="60">
        <v>11</v>
      </c>
      <c r="B17" s="162" t="s">
        <v>16</v>
      </c>
      <c r="C17" s="188">
        <v>50000</v>
      </c>
      <c r="D17" s="195">
        <f t="shared" ref="D17:D18" si="5">C17</f>
        <v>50000</v>
      </c>
      <c r="E17" s="26">
        <f t="shared" si="0"/>
        <v>100</v>
      </c>
      <c r="F17" s="195">
        <f t="shared" si="4"/>
        <v>50000</v>
      </c>
      <c r="G17" s="26">
        <f t="shared" si="1"/>
        <v>100</v>
      </c>
      <c r="H17" s="195">
        <f t="shared" ref="H17:H18" si="6">F17</f>
        <v>50000</v>
      </c>
      <c r="I17" s="26">
        <f t="shared" si="2"/>
        <v>100</v>
      </c>
    </row>
    <row r="18" spans="1:9" s="5" customFormat="1" ht="17.100000000000001" customHeight="1" x14ac:dyDescent="0.2">
      <c r="A18" s="60">
        <v>12</v>
      </c>
      <c r="B18" s="162" t="s">
        <v>57</v>
      </c>
      <c r="C18" s="188">
        <v>8242</v>
      </c>
      <c r="D18" s="195">
        <f t="shared" si="5"/>
        <v>8242</v>
      </c>
      <c r="E18" s="26">
        <f t="shared" si="0"/>
        <v>100</v>
      </c>
      <c r="F18" s="195">
        <f t="shared" si="4"/>
        <v>8242</v>
      </c>
      <c r="G18" s="26">
        <f t="shared" si="1"/>
        <v>100</v>
      </c>
      <c r="H18" s="195">
        <f t="shared" si="6"/>
        <v>8242</v>
      </c>
      <c r="I18" s="26">
        <f t="shared" si="2"/>
        <v>100</v>
      </c>
    </row>
    <row r="19" spans="1:9" s="90" customFormat="1" ht="17.100000000000001" customHeight="1" x14ac:dyDescent="0.2">
      <c r="A19" s="91">
        <v>13</v>
      </c>
      <c r="B19" s="163" t="s">
        <v>2</v>
      </c>
      <c r="C19" s="189">
        <v>13200</v>
      </c>
      <c r="D19" s="194">
        <v>20000</v>
      </c>
      <c r="E19" s="92">
        <f>D19/C19*100</f>
        <v>151.5151515151515</v>
      </c>
      <c r="F19" s="194">
        <v>22000</v>
      </c>
      <c r="G19" s="92">
        <f>F19/D19*100</f>
        <v>110.00000000000001</v>
      </c>
      <c r="H19" s="194">
        <v>22000</v>
      </c>
      <c r="I19" s="92">
        <f>H19/F19*100</f>
        <v>100</v>
      </c>
    </row>
    <row r="20" spans="1:9" s="90" customFormat="1" ht="17.100000000000001" customHeight="1" x14ac:dyDescent="0.2">
      <c r="A20" s="91">
        <v>14</v>
      </c>
      <c r="B20" s="163" t="s">
        <v>3</v>
      </c>
      <c r="C20" s="189">
        <f>SUM(C21:C23)</f>
        <v>137436.4</v>
      </c>
      <c r="D20" s="194">
        <f>SUM(D21:D23)</f>
        <v>685202.25</v>
      </c>
      <c r="E20" s="93">
        <f>D20/C20*100</f>
        <v>498.55951552863729</v>
      </c>
      <c r="F20" s="194">
        <f>SUM(F21:F23)</f>
        <v>689462.36250000005</v>
      </c>
      <c r="G20" s="176">
        <f t="shared" ref="G20:G24" si="7">F20/D20*100</f>
        <v>100.62173066419442</v>
      </c>
      <c r="H20" s="194">
        <f>SUM(H21:H23)</f>
        <v>693935.48062499997</v>
      </c>
      <c r="I20" s="176">
        <f t="shared" ref="I20:I23" si="8">H20/F20*100</f>
        <v>100.6487835113697</v>
      </c>
    </row>
    <row r="21" spans="1:9" s="5" customFormat="1" ht="17.100000000000001" customHeight="1" x14ac:dyDescent="0.2">
      <c r="A21" s="60">
        <v>15</v>
      </c>
      <c r="B21" s="54" t="s">
        <v>11</v>
      </c>
      <c r="C21" s="190">
        <v>81145.399999999994</v>
      </c>
      <c r="D21" s="27">
        <f>81145*1.05</f>
        <v>85202.25</v>
      </c>
      <c r="E21" s="26">
        <f>D21/C21*100</f>
        <v>104.99948241058644</v>
      </c>
      <c r="F21" s="27">
        <f>D21*1.05</f>
        <v>89462.362500000003</v>
      </c>
      <c r="G21" s="68">
        <f>F21/D21*100</f>
        <v>105</v>
      </c>
      <c r="H21" s="27">
        <f>F21*1.05</f>
        <v>93935.480625000011</v>
      </c>
      <c r="I21" s="68">
        <f t="shared" si="8"/>
        <v>105</v>
      </c>
    </row>
    <row r="22" spans="1:9" s="5" customFormat="1" ht="17.100000000000001" customHeight="1" x14ac:dyDescent="0.2">
      <c r="A22" s="60">
        <v>16</v>
      </c>
      <c r="B22" s="54" t="s">
        <v>69</v>
      </c>
      <c r="C22" s="190">
        <v>6291</v>
      </c>
      <c r="D22" s="191"/>
      <c r="E22" s="26"/>
      <c r="F22" s="27"/>
      <c r="G22" s="68"/>
      <c r="H22" s="27"/>
      <c r="I22" s="68"/>
    </row>
    <row r="23" spans="1:9" s="5" customFormat="1" ht="17.100000000000001" customHeight="1" thickBot="1" x14ac:dyDescent="0.25">
      <c r="A23" s="60">
        <v>17</v>
      </c>
      <c r="B23" s="54" t="s">
        <v>70</v>
      </c>
      <c r="C23" s="190">
        <v>50000</v>
      </c>
      <c r="D23" s="191">
        <v>600000</v>
      </c>
      <c r="E23" s="26">
        <f t="shared" ref="E23" si="9">D23/C23*100</f>
        <v>1200</v>
      </c>
      <c r="F23" s="27">
        <v>600000</v>
      </c>
      <c r="G23" s="68">
        <f t="shared" ref="G23" si="10">F23/D23*100</f>
        <v>100</v>
      </c>
      <c r="H23" s="27">
        <v>600000</v>
      </c>
      <c r="I23" s="68">
        <f t="shared" si="8"/>
        <v>100</v>
      </c>
    </row>
    <row r="24" spans="1:9" s="52" customFormat="1" ht="27" customHeight="1" thickTop="1" thickBot="1" x14ac:dyDescent="0.3">
      <c r="A24" s="62">
        <v>18</v>
      </c>
      <c r="B24" s="164" t="s">
        <v>4</v>
      </c>
      <c r="C24" s="165">
        <f>SUM(C19:C20,C10,C7)</f>
        <v>4563095</v>
      </c>
      <c r="D24" s="51">
        <f>SUM(D19:D20,D10,D7)</f>
        <v>5214261.25</v>
      </c>
      <c r="E24" s="175">
        <f>D24/C24*100</f>
        <v>114.27027598592623</v>
      </c>
      <c r="F24" s="51">
        <f>SUM(F19:F20,F10,F7)</f>
        <v>5304021.3624999998</v>
      </c>
      <c r="G24" s="175">
        <f t="shared" si="7"/>
        <v>101.72143489166371</v>
      </c>
      <c r="H24" s="51">
        <f>SUM(H19:H20,H10,H7)</f>
        <v>5394791.4806249999</v>
      </c>
      <c r="I24" s="175">
        <f t="shared" ref="I24" si="11">H24/F24*100</f>
        <v>101.71134525902845</v>
      </c>
    </row>
    <row r="25" spans="1:9" s="6" customFormat="1" ht="14.25" hidden="1" thickTop="1" thickBot="1" x14ac:dyDescent="0.25">
      <c r="B25" s="7"/>
      <c r="C25" s="167"/>
      <c r="D25" s="177">
        <f>SUM(D95)</f>
        <v>700000</v>
      </c>
      <c r="E25" s="168">
        <f>SUM(E95)</f>
        <v>969.31427938407001</v>
      </c>
      <c r="F25" s="177">
        <f>SUM(F95)+F94</f>
        <v>600000</v>
      </c>
      <c r="G25" s="168">
        <f>SUM(G95)</f>
        <v>85.714285714285708</v>
      </c>
      <c r="H25" s="177">
        <f>SUM(H95)+H94</f>
        <v>600000</v>
      </c>
      <c r="I25" s="168">
        <f>SUM(I95)</f>
        <v>100</v>
      </c>
    </row>
    <row r="26" spans="1:9" s="6" customFormat="1" ht="14.25" hidden="1" thickTop="1" thickBot="1" x14ac:dyDescent="0.25">
      <c r="B26" s="7"/>
      <c r="C26" s="167"/>
      <c r="D26" s="178">
        <f t="shared" ref="D26:I26" si="12">SUM(D24:D25)</f>
        <v>5914261.25</v>
      </c>
      <c r="E26" s="169">
        <f t="shared" si="12"/>
        <v>1083.5845553699962</v>
      </c>
      <c r="F26" s="178">
        <f t="shared" si="12"/>
        <v>5904021.3624999998</v>
      </c>
      <c r="G26" s="170">
        <f t="shared" si="12"/>
        <v>187.43572060594943</v>
      </c>
      <c r="H26" s="178">
        <f t="shared" si="12"/>
        <v>5994791.4806249999</v>
      </c>
      <c r="I26" s="170">
        <f t="shared" si="12"/>
        <v>201.71134525902846</v>
      </c>
    </row>
    <row r="27" spans="1:9" s="20" customFormat="1" ht="14.25" hidden="1" thickTop="1" thickBot="1" x14ac:dyDescent="0.25">
      <c r="B27" s="19"/>
      <c r="C27" s="167"/>
      <c r="D27" s="178" t="e">
        <f>-SUM(#REF!)</f>
        <v>#REF!</v>
      </c>
      <c r="E27" s="169"/>
      <c r="F27" s="178" t="e">
        <f>-SUM(#REF!)</f>
        <v>#REF!</v>
      </c>
      <c r="G27" s="170" t="e">
        <f>-SUM(#REF!)</f>
        <v>#REF!</v>
      </c>
      <c r="H27" s="178" t="e">
        <f>-SUM(#REF!)</f>
        <v>#REF!</v>
      </c>
      <c r="I27" s="170" t="e">
        <f>-SUM(#REF!)</f>
        <v>#REF!</v>
      </c>
    </row>
    <row r="28" spans="1:9" s="20" customFormat="1" ht="14.25" hidden="1" thickTop="1" thickBot="1" x14ac:dyDescent="0.25">
      <c r="B28" s="19"/>
      <c r="C28" s="167"/>
      <c r="D28" s="178" t="e">
        <f t="shared" ref="D28:G28" si="13">SUM(D26:D27)</f>
        <v>#REF!</v>
      </c>
      <c r="E28" s="169">
        <f t="shared" si="13"/>
        <v>1083.5845553699962</v>
      </c>
      <c r="F28" s="178" t="e">
        <f t="shared" si="13"/>
        <v>#REF!</v>
      </c>
      <c r="G28" s="170" t="e">
        <f t="shared" si="13"/>
        <v>#REF!</v>
      </c>
      <c r="H28" s="178" t="e">
        <f t="shared" ref="H28:I28" si="14">SUM(H26:H27)</f>
        <v>#REF!</v>
      </c>
      <c r="I28" s="170" t="e">
        <f t="shared" si="14"/>
        <v>#REF!</v>
      </c>
    </row>
    <row r="29" spans="1:9" s="20" customFormat="1" ht="14.25" hidden="1" thickTop="1" thickBot="1" x14ac:dyDescent="0.25">
      <c r="B29" s="19"/>
      <c r="C29" s="167"/>
      <c r="D29" s="178" t="e">
        <f>-SUM(#REF!)</f>
        <v>#REF!</v>
      </c>
      <c r="E29" s="170" t="e">
        <f>-SUM(#REF!)</f>
        <v>#REF!</v>
      </c>
      <c r="F29" s="178" t="e">
        <f>-SUM(#REF!)</f>
        <v>#REF!</v>
      </c>
      <c r="G29" s="170" t="e">
        <f>-SUM(#REF!)</f>
        <v>#REF!</v>
      </c>
      <c r="H29" s="178" t="e">
        <f>-SUM(#REF!)</f>
        <v>#REF!</v>
      </c>
      <c r="I29" s="170" t="e">
        <f>-SUM(#REF!)</f>
        <v>#REF!</v>
      </c>
    </row>
    <row r="30" spans="1:9" s="20" customFormat="1" ht="14.25" hidden="1" thickTop="1" thickBot="1" x14ac:dyDescent="0.25">
      <c r="B30" s="19"/>
      <c r="C30" s="167"/>
      <c r="D30" s="178" t="e">
        <f>-SUM(#REF!)</f>
        <v>#REF!</v>
      </c>
      <c r="E30" s="170" t="e">
        <f>-SUM(#REF!)</f>
        <v>#REF!</v>
      </c>
      <c r="F30" s="178" t="e">
        <f>-SUM(#REF!)-F94</f>
        <v>#REF!</v>
      </c>
      <c r="G30" s="170" t="e">
        <f>-SUM(#REF!)-G94</f>
        <v>#REF!</v>
      </c>
      <c r="H30" s="178" t="e">
        <f>-SUM(#REF!)-H94</f>
        <v>#REF!</v>
      </c>
      <c r="I30" s="170" t="e">
        <f>-SUM(#REF!)-I94</f>
        <v>#REF!</v>
      </c>
    </row>
    <row r="31" spans="1:9" s="6" customFormat="1" ht="14.25" hidden="1" thickTop="1" thickBot="1" x14ac:dyDescent="0.25">
      <c r="B31" s="7"/>
      <c r="C31" s="167"/>
      <c r="D31" s="179" t="e">
        <f t="shared" ref="D31:G31" si="15">SUM(D28:D30)</f>
        <v>#REF!</v>
      </c>
      <c r="E31" s="171" t="e">
        <f t="shared" si="15"/>
        <v>#REF!</v>
      </c>
      <c r="F31" s="179" t="e">
        <f t="shared" si="15"/>
        <v>#REF!</v>
      </c>
      <c r="G31" s="171" t="e">
        <f t="shared" si="15"/>
        <v>#REF!</v>
      </c>
      <c r="H31" s="179" t="e">
        <f t="shared" ref="H31:I31" si="16">SUM(H28:H30)</f>
        <v>#REF!</v>
      </c>
      <c r="I31" s="171" t="e">
        <f t="shared" si="16"/>
        <v>#REF!</v>
      </c>
    </row>
    <row r="32" spans="1:9" s="4" customFormat="1" ht="15.75" thickTop="1" thickBot="1" x14ac:dyDescent="0.25">
      <c r="A32" s="182">
        <v>19</v>
      </c>
      <c r="B32" s="172" t="s">
        <v>58</v>
      </c>
      <c r="C32" s="166">
        <v>-8240</v>
      </c>
      <c r="D32" s="180">
        <v>-8240</v>
      </c>
      <c r="E32" s="184">
        <f>D32/C32*100</f>
        <v>100</v>
      </c>
      <c r="F32" s="180">
        <v>-8240</v>
      </c>
      <c r="G32" s="77">
        <f>F32/D32*100</f>
        <v>100</v>
      </c>
      <c r="H32" s="180">
        <v>-8240</v>
      </c>
      <c r="I32" s="77">
        <f>H32/F32*100</f>
        <v>100</v>
      </c>
    </row>
    <row r="33" spans="1:9" s="4" customFormat="1" ht="24.75" customHeight="1" thickTop="1" thickBot="1" x14ac:dyDescent="0.3">
      <c r="A33" s="183">
        <v>20</v>
      </c>
      <c r="B33" s="173" t="s">
        <v>59</v>
      </c>
      <c r="C33" s="174">
        <f>C24+C32</f>
        <v>4554855</v>
      </c>
      <c r="D33" s="181">
        <f>D24+D32</f>
        <v>5206021.25</v>
      </c>
      <c r="E33" s="175">
        <f>D33/C33*100</f>
        <v>114.29609175264635</v>
      </c>
      <c r="F33" s="181">
        <f>F24+F32</f>
        <v>5295781.3624999998</v>
      </c>
      <c r="G33" s="175">
        <f>F33/D33*100</f>
        <v>101.72415954890694</v>
      </c>
      <c r="H33" s="181">
        <f>H24+H32</f>
        <v>5386551.4806249999</v>
      </c>
      <c r="I33" s="175">
        <f>H33/F33*100</f>
        <v>101.71400803605211</v>
      </c>
    </row>
    <row r="34" spans="1:9" s="4" customFormat="1" ht="13.5" thickTop="1" x14ac:dyDescent="0.2">
      <c r="B34" s="158"/>
      <c r="C34" s="159"/>
      <c r="D34" s="159"/>
      <c r="E34" s="159"/>
      <c r="F34" s="159"/>
      <c r="G34" s="159"/>
      <c r="H34" s="159"/>
      <c r="I34" s="159"/>
    </row>
    <row r="35" spans="1:9" s="4" customFormat="1" ht="13.5" thickBot="1" x14ac:dyDescent="0.25">
      <c r="B35" s="158"/>
      <c r="C35" s="159"/>
      <c r="D35" s="159"/>
      <c r="E35" s="160"/>
      <c r="F35" s="159"/>
      <c r="G35" s="160"/>
      <c r="H35" s="159"/>
      <c r="I35" s="160"/>
    </row>
    <row r="36" spans="1:9" ht="17.25" customHeight="1" thickTop="1" thickBot="1" x14ac:dyDescent="0.3">
      <c r="A36" s="234" t="s">
        <v>34</v>
      </c>
      <c r="B36" s="237" t="s">
        <v>18</v>
      </c>
      <c r="C36" s="227" t="s">
        <v>72</v>
      </c>
      <c r="D36" s="224" t="s">
        <v>79</v>
      </c>
      <c r="E36" s="225"/>
      <c r="F36" s="225"/>
      <c r="G36" s="225"/>
      <c r="H36" s="225"/>
      <c r="I36" s="226"/>
    </row>
    <row r="37" spans="1:9" s="3" customFormat="1" ht="18.75" customHeight="1" thickTop="1" x14ac:dyDescent="0.2">
      <c r="A37" s="235"/>
      <c r="B37" s="238"/>
      <c r="C37" s="228"/>
      <c r="D37" s="214">
        <v>2018</v>
      </c>
      <c r="E37" s="216" t="s">
        <v>62</v>
      </c>
      <c r="F37" s="214">
        <v>2019</v>
      </c>
      <c r="G37" s="216" t="s">
        <v>71</v>
      </c>
      <c r="H37" s="214">
        <v>2020</v>
      </c>
      <c r="I37" s="216" t="s">
        <v>73</v>
      </c>
    </row>
    <row r="38" spans="1:9" s="4" customFormat="1" ht="31.5" customHeight="1" x14ac:dyDescent="0.2">
      <c r="A38" s="235"/>
      <c r="B38" s="238"/>
      <c r="C38" s="228"/>
      <c r="D38" s="214"/>
      <c r="E38" s="216"/>
      <c r="F38" s="214"/>
      <c r="G38" s="216"/>
      <c r="H38" s="214"/>
      <c r="I38" s="216"/>
    </row>
    <row r="39" spans="1:9" s="4" customFormat="1" ht="13.5" customHeight="1" thickBot="1" x14ac:dyDescent="0.25">
      <c r="A39" s="236"/>
      <c r="B39" s="239"/>
      <c r="C39" s="229"/>
      <c r="D39" s="215"/>
      <c r="E39" s="217"/>
      <c r="F39" s="215"/>
      <c r="G39" s="217"/>
      <c r="H39" s="215"/>
      <c r="I39" s="217"/>
    </row>
    <row r="40" spans="1:9" s="95" customFormat="1" ht="32.25" customHeight="1" thickTop="1" x14ac:dyDescent="0.25">
      <c r="A40" s="87">
        <v>21</v>
      </c>
      <c r="B40" s="78" t="s">
        <v>41</v>
      </c>
      <c r="C40" s="139">
        <f>SUM(C41:C46)</f>
        <v>975544</v>
      </c>
      <c r="D40" s="79">
        <f>SUM(D41:D46)</f>
        <v>967863</v>
      </c>
      <c r="E40" s="94">
        <f t="shared" ref="E40:E47" si="17">D40/C40*100</f>
        <v>99.212644432234725</v>
      </c>
      <c r="F40" s="79">
        <f>SUM(F41:F42,F45:F46)</f>
        <v>964904</v>
      </c>
      <c r="G40" s="92">
        <f t="shared" ref="G40:G55" si="18">F40/D40*100</f>
        <v>99.694274912875073</v>
      </c>
      <c r="H40" s="79">
        <f>SUM(H41:H42,H45:H46)</f>
        <v>961646</v>
      </c>
      <c r="I40" s="92">
        <f t="shared" ref="I40" si="19">H40/F40*100</f>
        <v>99.662349829620354</v>
      </c>
    </row>
    <row r="41" spans="1:9" s="29" customFormat="1" ht="16.5" customHeight="1" x14ac:dyDescent="0.25">
      <c r="A41" s="61">
        <v>22</v>
      </c>
      <c r="B41" s="74" t="s">
        <v>42</v>
      </c>
      <c r="C41" s="140">
        <f>686314-71000-40688-10000</f>
        <v>564626</v>
      </c>
      <c r="D41" s="76">
        <f>C41</f>
        <v>564626</v>
      </c>
      <c r="E41" s="77">
        <f t="shared" si="17"/>
        <v>100</v>
      </c>
      <c r="F41" s="76">
        <f>D41</f>
        <v>564626</v>
      </c>
      <c r="G41" s="77">
        <f>F41/D41*100</f>
        <v>100</v>
      </c>
      <c r="H41" s="76">
        <f>F41</f>
        <v>564626</v>
      </c>
      <c r="I41" s="77">
        <f>H41/F41*100</f>
        <v>100</v>
      </c>
    </row>
    <row r="42" spans="1:9" s="29" customFormat="1" ht="16.5" customHeight="1" x14ac:dyDescent="0.25">
      <c r="A42" s="61">
        <v>23</v>
      </c>
      <c r="B42" s="74" t="s">
        <v>43</v>
      </c>
      <c r="C42" s="140">
        <v>289230</v>
      </c>
      <c r="D42" s="76">
        <f>C42*1.1</f>
        <v>318153</v>
      </c>
      <c r="E42" s="77">
        <f t="shared" si="17"/>
        <v>110.00000000000001</v>
      </c>
      <c r="F42" s="76">
        <f>D42</f>
        <v>318153</v>
      </c>
      <c r="G42" s="77">
        <f>F42/D42*100</f>
        <v>100</v>
      </c>
      <c r="H42" s="76">
        <f>F42</f>
        <v>318153</v>
      </c>
      <c r="I42" s="77">
        <f>H42/F42*100</f>
        <v>100</v>
      </c>
    </row>
    <row r="43" spans="1:9" s="15" customFormat="1" ht="16.5" hidden="1" customHeight="1" x14ac:dyDescent="0.2">
      <c r="A43" s="61">
        <v>20</v>
      </c>
      <c r="B43" s="53" t="s">
        <v>32</v>
      </c>
      <c r="C43" s="141"/>
      <c r="D43" s="83">
        <f>C43</f>
        <v>0</v>
      </c>
      <c r="E43" s="84" t="e">
        <f t="shared" si="17"/>
        <v>#DIV/0!</v>
      </c>
      <c r="F43" s="83">
        <f>D43</f>
        <v>0</v>
      </c>
      <c r="G43" s="84" t="e">
        <f t="shared" si="18"/>
        <v>#DIV/0!</v>
      </c>
      <c r="H43" s="83">
        <f>F43</f>
        <v>0</v>
      </c>
      <c r="I43" s="84" t="e">
        <f t="shared" ref="I43:I51" si="20">H43/F43*100</f>
        <v>#DIV/0!</v>
      </c>
    </row>
    <row r="44" spans="1:9" s="15" customFormat="1" ht="16.5" hidden="1" customHeight="1" x14ac:dyDescent="0.2">
      <c r="A44" s="61">
        <v>21</v>
      </c>
      <c r="B44" s="53" t="s">
        <v>33</v>
      </c>
      <c r="C44" s="141"/>
      <c r="D44" s="83">
        <f>C44</f>
        <v>0</v>
      </c>
      <c r="E44" s="84" t="e">
        <f t="shared" si="17"/>
        <v>#DIV/0!</v>
      </c>
      <c r="F44" s="83">
        <f>D44</f>
        <v>0</v>
      </c>
      <c r="G44" s="84" t="e">
        <f t="shared" si="18"/>
        <v>#DIV/0!</v>
      </c>
      <c r="H44" s="83">
        <f>F44</f>
        <v>0</v>
      </c>
      <c r="I44" s="84" t="e">
        <f t="shared" si="20"/>
        <v>#DIV/0!</v>
      </c>
    </row>
    <row r="45" spans="1:9" s="29" customFormat="1" ht="16.5" customHeight="1" x14ac:dyDescent="0.25">
      <c r="A45" s="61">
        <v>24</v>
      </c>
      <c r="B45" s="74" t="s">
        <v>63</v>
      </c>
      <c r="C45" s="140">
        <f>36000+35000+10000</f>
        <v>81000</v>
      </c>
      <c r="D45" s="76">
        <v>45000</v>
      </c>
      <c r="E45" s="77">
        <f t="shared" si="17"/>
        <v>55.555555555555557</v>
      </c>
      <c r="F45" s="76">
        <f>D45</f>
        <v>45000</v>
      </c>
      <c r="G45" s="77">
        <f t="shared" si="18"/>
        <v>100</v>
      </c>
      <c r="H45" s="76">
        <f>F45</f>
        <v>45000</v>
      </c>
      <c r="I45" s="77">
        <f t="shared" si="20"/>
        <v>100</v>
      </c>
    </row>
    <row r="46" spans="1:9" s="29" customFormat="1" ht="16.5" customHeight="1" x14ac:dyDescent="0.25">
      <c r="A46" s="61">
        <v>25</v>
      </c>
      <c r="B46" s="74" t="s">
        <v>44</v>
      </c>
      <c r="C46" s="155">
        <f>SUM(C47:C52)</f>
        <v>40688</v>
      </c>
      <c r="D46" s="198">
        <f>SUM(D47:D52)</f>
        <v>40084</v>
      </c>
      <c r="E46" s="77">
        <f t="shared" si="17"/>
        <v>98.515532835233984</v>
      </c>
      <c r="F46" s="198">
        <f>SUM(F47:F52)</f>
        <v>37125</v>
      </c>
      <c r="G46" s="77">
        <f t="shared" si="18"/>
        <v>92.618002195389678</v>
      </c>
      <c r="H46" s="198">
        <f>SUM(H47:H52)</f>
        <v>33867</v>
      </c>
      <c r="I46" s="77">
        <f t="shared" si="20"/>
        <v>91.224242424242419</v>
      </c>
    </row>
    <row r="47" spans="1:9" s="15" customFormat="1" ht="16.5" customHeight="1" x14ac:dyDescent="0.2">
      <c r="A47" s="61">
        <v>26</v>
      </c>
      <c r="B47" s="54" t="s">
        <v>45</v>
      </c>
      <c r="C47" s="156">
        <v>6122</v>
      </c>
      <c r="D47" s="186">
        <v>5670</v>
      </c>
      <c r="E47" s="84">
        <f t="shared" si="17"/>
        <v>92.61679189807252</v>
      </c>
      <c r="F47" s="186">
        <v>5220</v>
      </c>
      <c r="G47" s="84">
        <f t="shared" si="18"/>
        <v>92.063492063492063</v>
      </c>
      <c r="H47" s="186">
        <v>4769</v>
      </c>
      <c r="I47" s="84">
        <f t="shared" si="20"/>
        <v>91.360153256704976</v>
      </c>
    </row>
    <row r="48" spans="1:9" s="15" customFormat="1" ht="16.5" customHeight="1" x14ac:dyDescent="0.2">
      <c r="A48" s="61">
        <v>27</v>
      </c>
      <c r="B48" s="54" t="s">
        <v>38</v>
      </c>
      <c r="C48" s="156">
        <v>26892</v>
      </c>
      <c r="D48" s="186">
        <v>25415</v>
      </c>
      <c r="E48" s="84">
        <f t="shared" ref="E48:E49" si="21">D48/C48*100</f>
        <v>94.507660270712478</v>
      </c>
      <c r="F48" s="186">
        <v>23939</v>
      </c>
      <c r="G48" s="84">
        <f t="shared" si="18"/>
        <v>94.192406059413742</v>
      </c>
      <c r="H48" s="186">
        <v>22463</v>
      </c>
      <c r="I48" s="84">
        <f t="shared" si="20"/>
        <v>93.834328919336656</v>
      </c>
    </row>
    <row r="49" spans="1:9" s="15" customFormat="1" ht="16.5" customHeight="1" x14ac:dyDescent="0.2">
      <c r="A49" s="61">
        <v>28</v>
      </c>
      <c r="B49" s="54" t="s">
        <v>36</v>
      </c>
      <c r="C49" s="156">
        <v>6674</v>
      </c>
      <c r="D49" s="186">
        <v>5640</v>
      </c>
      <c r="E49" s="84">
        <f t="shared" si="21"/>
        <v>84.507042253521121</v>
      </c>
      <c r="F49" s="186">
        <v>4607</v>
      </c>
      <c r="G49" s="84">
        <f t="shared" si="18"/>
        <v>81.684397163120565</v>
      </c>
      <c r="H49" s="186">
        <v>3574</v>
      </c>
      <c r="I49" s="84">
        <f t="shared" si="20"/>
        <v>77.577599305404817</v>
      </c>
    </row>
    <row r="50" spans="1:9" s="15" customFormat="1" ht="16.5" customHeight="1" x14ac:dyDescent="0.2">
      <c r="A50" s="61">
        <v>29</v>
      </c>
      <c r="B50" s="54" t="s">
        <v>77</v>
      </c>
      <c r="C50" s="197"/>
      <c r="D50" s="186">
        <v>2842</v>
      </c>
      <c r="E50" s="84">
        <v>0</v>
      </c>
      <c r="F50" s="186">
        <v>2842</v>
      </c>
      <c r="G50" s="84">
        <f t="shared" si="18"/>
        <v>100</v>
      </c>
      <c r="H50" s="186">
        <v>2583</v>
      </c>
      <c r="I50" s="84">
        <f t="shared" si="20"/>
        <v>90.886699507389153</v>
      </c>
    </row>
    <row r="51" spans="1:9" s="15" customFormat="1" ht="16.5" customHeight="1" x14ac:dyDescent="0.2">
      <c r="A51" s="61">
        <v>30</v>
      </c>
      <c r="B51" s="54" t="s">
        <v>82</v>
      </c>
      <c r="C51" s="197"/>
      <c r="D51" s="199">
        <v>517</v>
      </c>
      <c r="E51" s="84">
        <v>0</v>
      </c>
      <c r="F51" s="199">
        <v>517</v>
      </c>
      <c r="G51" s="84">
        <f t="shared" si="18"/>
        <v>100</v>
      </c>
      <c r="H51" s="199">
        <v>478</v>
      </c>
      <c r="I51" s="84">
        <f t="shared" si="20"/>
        <v>92.456479690522244</v>
      </c>
    </row>
    <row r="52" spans="1:9" s="15" customFormat="1" ht="16.5" customHeight="1" x14ac:dyDescent="0.2">
      <c r="A52" s="61">
        <v>31</v>
      </c>
      <c r="B52" s="54" t="s">
        <v>53</v>
      </c>
      <c r="C52" s="156">
        <v>1000</v>
      </c>
      <c r="D52" s="186"/>
      <c r="E52" s="84">
        <v>0</v>
      </c>
      <c r="F52" s="186"/>
      <c r="G52" s="84">
        <v>0</v>
      </c>
      <c r="H52" s="186"/>
      <c r="I52" s="84">
        <v>0</v>
      </c>
    </row>
    <row r="53" spans="1:9" s="90" customFormat="1" ht="15" customHeight="1" x14ac:dyDescent="0.2">
      <c r="A53" s="96">
        <v>32</v>
      </c>
      <c r="B53" s="97" t="s">
        <v>19</v>
      </c>
      <c r="C53" s="142">
        <f>SUM(C54:C58)</f>
        <v>2496931</v>
      </c>
      <c r="D53" s="79">
        <f>SUM(D54:D58)</f>
        <v>2642542</v>
      </c>
      <c r="E53" s="92">
        <f>D53/C53*100</f>
        <v>105.83159887077376</v>
      </c>
      <c r="F53" s="79">
        <f>SUM(F54:F58)</f>
        <v>2673117</v>
      </c>
      <c r="G53" s="92">
        <f>F53/D53*100</f>
        <v>101.1570298598849</v>
      </c>
      <c r="H53" s="79">
        <f>SUM(H54:H58)</f>
        <v>2704122</v>
      </c>
      <c r="I53" s="92">
        <f>H53/F53*100</f>
        <v>101.15988189069165</v>
      </c>
    </row>
    <row r="54" spans="1:9" s="29" customFormat="1" ht="16.5" customHeight="1" x14ac:dyDescent="0.25">
      <c r="A54" s="61">
        <v>33</v>
      </c>
      <c r="B54" s="74" t="s">
        <v>47</v>
      </c>
      <c r="C54" s="140">
        <v>962615</v>
      </c>
      <c r="D54" s="76">
        <v>1081058</v>
      </c>
      <c r="E54" s="77">
        <f>D54/C54*100</f>
        <v>112.30429611007516</v>
      </c>
      <c r="F54" s="76">
        <v>1081058</v>
      </c>
      <c r="G54" s="77">
        <f>F54/D54*100</f>
        <v>100</v>
      </c>
      <c r="H54" s="76">
        <v>1090947</v>
      </c>
      <c r="I54" s="77">
        <f>H54/F54*100</f>
        <v>100.91475202995584</v>
      </c>
    </row>
    <row r="55" spans="1:9" s="29" customFormat="1" ht="16.5" customHeight="1" x14ac:dyDescent="0.25">
      <c r="A55" s="61">
        <v>34</v>
      </c>
      <c r="B55" s="74" t="s">
        <v>48</v>
      </c>
      <c r="C55" s="140">
        <v>215434</v>
      </c>
      <c r="D55" s="76">
        <v>245509</v>
      </c>
      <c r="E55" s="77">
        <f>D55/C55*100</f>
        <v>113.96019198455211</v>
      </c>
      <c r="F55" s="76">
        <v>245509</v>
      </c>
      <c r="G55" s="77">
        <f t="shared" si="18"/>
        <v>100</v>
      </c>
      <c r="H55" s="76">
        <v>248729</v>
      </c>
      <c r="I55" s="77">
        <f t="shared" ref="I55" si="22">H55/F55*100</f>
        <v>101.31156087964189</v>
      </c>
    </row>
    <row r="56" spans="1:9" s="29" customFormat="1" ht="16.5" customHeight="1" x14ac:dyDescent="0.25">
      <c r="A56" s="61">
        <v>35</v>
      </c>
      <c r="B56" s="74" t="s">
        <v>49</v>
      </c>
      <c r="C56" s="140">
        <v>323749</v>
      </c>
      <c r="D56" s="76">
        <f>C56</f>
        <v>323749</v>
      </c>
      <c r="E56" s="77">
        <f>D56/C56*100</f>
        <v>100</v>
      </c>
      <c r="F56" s="76">
        <v>324257</v>
      </c>
      <c r="G56" s="77">
        <f>F56/D56*100</f>
        <v>100.15691168158047</v>
      </c>
      <c r="H56" s="76">
        <v>327148</v>
      </c>
      <c r="I56" s="77">
        <f>H56/F56*100</f>
        <v>100.89157674313893</v>
      </c>
    </row>
    <row r="57" spans="1:9" s="29" customFormat="1" ht="16.5" customHeight="1" x14ac:dyDescent="0.25">
      <c r="A57" s="61">
        <v>36</v>
      </c>
      <c r="B57" s="74" t="s">
        <v>52</v>
      </c>
      <c r="C57" s="140">
        <f>3390+1931+50000+2500</f>
        <v>57821</v>
      </c>
      <c r="D57" s="76">
        <f>15000+250+1731</f>
        <v>16981</v>
      </c>
      <c r="E57" s="77">
        <f t="shared" ref="E57:E62" si="23">D57/C57*100</f>
        <v>29.368222618079937</v>
      </c>
      <c r="F57" s="76">
        <f>1731+15000+250</f>
        <v>16981</v>
      </c>
      <c r="G57" s="77">
        <f>F57/D57*100</f>
        <v>100</v>
      </c>
      <c r="H57" s="76">
        <f>15000+1731+250</f>
        <v>16981</v>
      </c>
      <c r="I57" s="77">
        <f>H57/F57*100</f>
        <v>100</v>
      </c>
    </row>
    <row r="58" spans="1:9" s="29" customFormat="1" ht="16.5" customHeight="1" x14ac:dyDescent="0.25">
      <c r="A58" s="61">
        <v>37</v>
      </c>
      <c r="B58" s="74" t="s">
        <v>61</v>
      </c>
      <c r="C58" s="140">
        <v>937312</v>
      </c>
      <c r="D58" s="76">
        <f>C58+37933</f>
        <v>975245</v>
      </c>
      <c r="E58" s="77">
        <f t="shared" si="23"/>
        <v>104.04699822471066</v>
      </c>
      <c r="F58" s="76">
        <v>1005312</v>
      </c>
      <c r="G58" s="77">
        <f>F58/D58*100</f>
        <v>103.08302016416388</v>
      </c>
      <c r="H58" s="76">
        <v>1020317</v>
      </c>
      <c r="I58" s="77">
        <f>H58/F58*100</f>
        <v>101.49257146040233</v>
      </c>
    </row>
    <row r="59" spans="1:9" s="95" customFormat="1" ht="16.5" customHeight="1" x14ac:dyDescent="0.25">
      <c r="A59" s="96">
        <v>38</v>
      </c>
      <c r="B59" s="78" t="s">
        <v>50</v>
      </c>
      <c r="C59" s="142">
        <v>17458</v>
      </c>
      <c r="D59" s="79">
        <v>15000</v>
      </c>
      <c r="E59" s="80">
        <f t="shared" si="23"/>
        <v>85.920494902050635</v>
      </c>
      <c r="F59" s="79">
        <v>15000</v>
      </c>
      <c r="G59" s="80">
        <v>0</v>
      </c>
      <c r="H59" s="79">
        <v>15000</v>
      </c>
      <c r="I59" s="80">
        <v>0</v>
      </c>
    </row>
    <row r="60" spans="1:9" s="95" customFormat="1" ht="16.5" customHeight="1" x14ac:dyDescent="0.25">
      <c r="A60" s="96">
        <v>39</v>
      </c>
      <c r="B60" s="78" t="s">
        <v>20</v>
      </c>
      <c r="C60" s="142">
        <v>8242</v>
      </c>
      <c r="D60" s="79">
        <f>C60</f>
        <v>8242</v>
      </c>
      <c r="E60" s="80">
        <f t="shared" si="23"/>
        <v>100</v>
      </c>
      <c r="F60" s="79">
        <f>D60</f>
        <v>8242</v>
      </c>
      <c r="G60" s="80">
        <f>F60/D60*100</f>
        <v>100</v>
      </c>
      <c r="H60" s="79">
        <f>F60</f>
        <v>8242</v>
      </c>
      <c r="I60" s="80">
        <f>H60/F60*100</f>
        <v>100</v>
      </c>
    </row>
    <row r="61" spans="1:9" s="95" customFormat="1" ht="15" x14ac:dyDescent="0.25">
      <c r="A61" s="96">
        <v>40</v>
      </c>
      <c r="B61" s="78" t="s">
        <v>21</v>
      </c>
      <c r="C61" s="143">
        <v>50000</v>
      </c>
      <c r="D61" s="81">
        <f>C61</f>
        <v>50000</v>
      </c>
      <c r="E61" s="80">
        <f t="shared" si="23"/>
        <v>100</v>
      </c>
      <c r="F61" s="81">
        <f>D61</f>
        <v>50000</v>
      </c>
      <c r="G61" s="80">
        <f>F61/D61*100</f>
        <v>100</v>
      </c>
      <c r="H61" s="81">
        <f>F61</f>
        <v>50000</v>
      </c>
      <c r="I61" s="80">
        <f>H61/F61*100</f>
        <v>100</v>
      </c>
    </row>
    <row r="62" spans="1:9" s="90" customFormat="1" ht="27.75" customHeight="1" x14ac:dyDescent="0.2">
      <c r="A62" s="96">
        <v>41</v>
      </c>
      <c r="B62" s="78" t="s">
        <v>51</v>
      </c>
      <c r="C62" s="142">
        <f>SUM(C63:C77)</f>
        <v>1081855</v>
      </c>
      <c r="D62" s="139">
        <f>SUM(D63:D68)</f>
        <v>1377455</v>
      </c>
      <c r="E62" s="82">
        <f t="shared" si="23"/>
        <v>127.32343983250991</v>
      </c>
      <c r="F62" s="79">
        <f>SUM(F63:F68)</f>
        <v>1339599</v>
      </c>
      <c r="G62" s="117">
        <f>F62/D62*100</f>
        <v>97.251743251140681</v>
      </c>
      <c r="H62" s="79">
        <f>SUM(H63:H68)</f>
        <v>1384440</v>
      </c>
      <c r="I62" s="117">
        <f>H62/F62*100</f>
        <v>103.34734498906015</v>
      </c>
    </row>
    <row r="63" spans="1:9" s="30" customFormat="1" ht="14.25" customHeight="1" x14ac:dyDescent="0.2">
      <c r="A63" s="61">
        <v>42</v>
      </c>
      <c r="B63" s="85" t="s">
        <v>54</v>
      </c>
      <c r="C63" s="154">
        <f>476592-23605-560</f>
        <v>452427</v>
      </c>
      <c r="D63" s="220">
        <v>1353850</v>
      </c>
      <c r="E63" s="218">
        <f>D63/(C63+C64+C65+C66+C67)*100</f>
        <v>205.67413596657804</v>
      </c>
      <c r="F63" s="220">
        <v>1315994</v>
      </c>
      <c r="G63" s="218">
        <f>F63/D63*100</f>
        <v>97.203826125493961</v>
      </c>
      <c r="H63" s="220">
        <v>1360835</v>
      </c>
      <c r="I63" s="218">
        <f>H63/F63*100</f>
        <v>103.40738635586484</v>
      </c>
    </row>
    <row r="64" spans="1:9" s="30" customFormat="1" ht="14.25" hidden="1" customHeight="1" x14ac:dyDescent="0.2">
      <c r="A64" s="61">
        <v>39</v>
      </c>
      <c r="B64" s="85" t="s">
        <v>55</v>
      </c>
      <c r="C64" s="154"/>
      <c r="D64" s="221"/>
      <c r="E64" s="219"/>
      <c r="F64" s="221"/>
      <c r="G64" s="222"/>
      <c r="H64" s="221"/>
      <c r="I64" s="222"/>
    </row>
    <row r="65" spans="1:9" s="30" customFormat="1" ht="14.25" customHeight="1" x14ac:dyDescent="0.2">
      <c r="A65" s="61">
        <v>43</v>
      </c>
      <c r="B65" s="85" t="s">
        <v>64</v>
      </c>
      <c r="C65" s="154">
        <v>205263</v>
      </c>
      <c r="D65" s="221"/>
      <c r="E65" s="219"/>
      <c r="F65" s="221"/>
      <c r="G65" s="222"/>
      <c r="H65" s="221"/>
      <c r="I65" s="222"/>
    </row>
    <row r="66" spans="1:9" s="30" customFormat="1" ht="14.25" customHeight="1" x14ac:dyDescent="0.2">
      <c r="A66" s="61">
        <v>44</v>
      </c>
      <c r="B66" s="85" t="s">
        <v>65</v>
      </c>
      <c r="C66" s="154">
        <v>560</v>
      </c>
      <c r="D66" s="221"/>
      <c r="E66" s="219"/>
      <c r="F66" s="221"/>
      <c r="G66" s="222"/>
      <c r="H66" s="221"/>
      <c r="I66" s="222"/>
    </row>
    <row r="67" spans="1:9" s="30" customFormat="1" ht="14.25" customHeight="1" x14ac:dyDescent="0.2">
      <c r="A67" s="61">
        <v>45</v>
      </c>
      <c r="B67" s="85" t="s">
        <v>67</v>
      </c>
      <c r="C67" s="145">
        <v>0</v>
      </c>
      <c r="D67" s="221"/>
      <c r="E67" s="219"/>
      <c r="F67" s="221"/>
      <c r="G67" s="223"/>
      <c r="H67" s="221"/>
      <c r="I67" s="223"/>
    </row>
    <row r="68" spans="1:9" s="30" customFormat="1" ht="14.25" customHeight="1" x14ac:dyDescent="0.2">
      <c r="A68" s="61">
        <v>46</v>
      </c>
      <c r="B68" s="85" t="s">
        <v>66</v>
      </c>
      <c r="C68" s="144">
        <v>23605</v>
      </c>
      <c r="D68" s="86">
        <v>23605</v>
      </c>
      <c r="E68" s="77">
        <f>D68/C68*100</f>
        <v>100</v>
      </c>
      <c r="F68" s="86">
        <v>23605</v>
      </c>
      <c r="G68" s="77">
        <f>F68/D68*100</f>
        <v>100</v>
      </c>
      <c r="H68" s="86">
        <v>23605</v>
      </c>
      <c r="I68" s="77">
        <f>H68/F68*100</f>
        <v>100</v>
      </c>
    </row>
    <row r="69" spans="1:9" s="8" customFormat="1" ht="14.25" hidden="1" customHeight="1" x14ac:dyDescent="0.2">
      <c r="A69" s="60">
        <v>33</v>
      </c>
      <c r="B69" s="54" t="s">
        <v>22</v>
      </c>
      <c r="C69" s="146"/>
      <c r="D69" s="55"/>
      <c r="E69" s="26"/>
      <c r="F69" s="55"/>
      <c r="G69" s="26"/>
      <c r="H69" s="55"/>
      <c r="I69" s="26"/>
    </row>
    <row r="70" spans="1:9" s="8" customFormat="1" ht="14.25" hidden="1" customHeight="1" x14ac:dyDescent="0.2">
      <c r="A70" s="61">
        <v>34</v>
      </c>
      <c r="B70" s="54" t="s">
        <v>23</v>
      </c>
      <c r="C70" s="146"/>
      <c r="D70" s="55"/>
      <c r="E70" s="68"/>
      <c r="F70" s="55"/>
      <c r="G70" s="26"/>
      <c r="H70" s="55"/>
      <c r="I70" s="26"/>
    </row>
    <row r="71" spans="1:9" s="8" customFormat="1" ht="14.25" hidden="1" customHeight="1" x14ac:dyDescent="0.2">
      <c r="A71" s="60">
        <v>35</v>
      </c>
      <c r="B71" s="54" t="s">
        <v>24</v>
      </c>
      <c r="C71" s="146"/>
      <c r="D71" s="71"/>
      <c r="E71" s="69"/>
      <c r="F71" s="57"/>
      <c r="G71" s="58"/>
      <c r="H71" s="57"/>
      <c r="I71" s="58"/>
    </row>
    <row r="72" spans="1:9" s="8" customFormat="1" ht="14.25" hidden="1" customHeight="1" x14ac:dyDescent="0.2">
      <c r="A72" s="61">
        <v>36</v>
      </c>
      <c r="B72" s="54" t="s">
        <v>25</v>
      </c>
      <c r="C72" s="146"/>
      <c r="D72" s="71"/>
      <c r="E72" s="69"/>
      <c r="F72" s="56"/>
      <c r="G72" s="26"/>
      <c r="H72" s="56"/>
      <c r="I72" s="26"/>
    </row>
    <row r="73" spans="1:9" s="8" customFormat="1" ht="14.25" hidden="1" customHeight="1" x14ac:dyDescent="0.2">
      <c r="A73" s="60">
        <v>37</v>
      </c>
      <c r="B73" s="54" t="s">
        <v>35</v>
      </c>
      <c r="C73" s="146"/>
      <c r="D73" s="72">
        <v>30435</v>
      </c>
      <c r="E73" s="70"/>
      <c r="F73" s="67">
        <v>30435</v>
      </c>
      <c r="G73" s="26"/>
      <c r="H73" s="67">
        <v>30435</v>
      </c>
      <c r="I73" s="26"/>
    </row>
    <row r="74" spans="1:9" s="8" customFormat="1" ht="14.25" hidden="1" customHeight="1" x14ac:dyDescent="0.2">
      <c r="A74" s="61">
        <v>38</v>
      </c>
      <c r="B74" s="54" t="s">
        <v>26</v>
      </c>
      <c r="C74" s="146"/>
      <c r="D74" s="55"/>
      <c r="E74" s="26"/>
      <c r="F74" s="55"/>
      <c r="G74" s="26"/>
      <c r="H74" s="55"/>
      <c r="I74" s="26"/>
    </row>
    <row r="75" spans="1:9" s="8" customFormat="1" ht="14.25" hidden="1" customHeight="1" x14ac:dyDescent="0.2">
      <c r="A75" s="60">
        <v>39</v>
      </c>
      <c r="B75" s="54" t="s">
        <v>30</v>
      </c>
      <c r="C75" s="146"/>
      <c r="D75" s="28">
        <v>26826</v>
      </c>
      <c r="E75" s="26" t="e">
        <f>D75/#REF!*100</f>
        <v>#REF!</v>
      </c>
      <c r="F75" s="28">
        <v>26826</v>
      </c>
      <c r="G75" s="26">
        <f>F75/D75*100</f>
        <v>100</v>
      </c>
      <c r="H75" s="28">
        <v>26826</v>
      </c>
      <c r="I75" s="26">
        <f>H75/F75*100</f>
        <v>100</v>
      </c>
    </row>
    <row r="76" spans="1:9" s="8" customFormat="1" ht="14.25" hidden="1" customHeight="1" x14ac:dyDescent="0.2">
      <c r="A76" s="61">
        <v>40</v>
      </c>
      <c r="B76" s="54" t="s">
        <v>27</v>
      </c>
      <c r="C76" s="146"/>
      <c r="D76" s="28"/>
      <c r="E76" s="26" t="e">
        <f>D76/#REF!*100</f>
        <v>#REF!</v>
      </c>
      <c r="F76" s="28"/>
      <c r="G76" s="26"/>
      <c r="H76" s="28"/>
      <c r="I76" s="26"/>
    </row>
    <row r="77" spans="1:9" s="30" customFormat="1" ht="14.25" customHeight="1" thickBot="1" x14ac:dyDescent="0.25">
      <c r="A77" s="61">
        <v>47</v>
      </c>
      <c r="B77" s="85" t="s">
        <v>68</v>
      </c>
      <c r="C77" s="144">
        <v>400000</v>
      </c>
      <c r="D77" s="86"/>
      <c r="E77" s="77"/>
      <c r="F77" s="86"/>
      <c r="G77" s="77"/>
      <c r="H77" s="86"/>
      <c r="I77" s="77"/>
    </row>
    <row r="78" spans="1:9" s="36" customFormat="1" ht="26.25" customHeight="1" thickTop="1" thickBot="1" x14ac:dyDescent="0.25">
      <c r="A78" s="63">
        <v>48</v>
      </c>
      <c r="B78" s="37" t="s">
        <v>5</v>
      </c>
      <c r="C78" s="38">
        <f>SUM(C40,C53,C59:C62)</f>
        <v>4630030</v>
      </c>
      <c r="D78" s="38">
        <f>SUM(D40,D53,D59:D62)</f>
        <v>5061102</v>
      </c>
      <c r="E78" s="50">
        <f>D78/C78*100</f>
        <v>109.31035004092845</v>
      </c>
      <c r="F78" s="38">
        <f>SUM(F40,F53,F59:F62)</f>
        <v>5050862</v>
      </c>
      <c r="G78" s="50">
        <f>F78/D78*100</f>
        <v>99.79767252270355</v>
      </c>
      <c r="H78" s="38">
        <f>SUM(H40,H53,H59:H62)</f>
        <v>5123450</v>
      </c>
      <c r="I78" s="50">
        <f>H78/F78*100</f>
        <v>101.4371408286348</v>
      </c>
    </row>
    <row r="79" spans="1:9" s="13" customFormat="1" ht="13.5" hidden="1" customHeight="1" thickTop="1" x14ac:dyDescent="0.2">
      <c r="B79" s="9"/>
      <c r="C79" s="147"/>
      <c r="D79" s="11">
        <f t="shared" ref="D79:I79" si="24">-SUM(D99)</f>
        <v>853159</v>
      </c>
      <c r="E79" s="32">
        <f t="shared" si="24"/>
        <v>-337.00520226418973</v>
      </c>
      <c r="F79" s="11">
        <f t="shared" si="24"/>
        <v>853159</v>
      </c>
      <c r="G79" s="32">
        <f t="shared" si="24"/>
        <v>-100</v>
      </c>
      <c r="H79" s="11">
        <f t="shared" si="24"/>
        <v>871341</v>
      </c>
      <c r="I79" s="32">
        <f t="shared" si="24"/>
        <v>-102.13113850993778</v>
      </c>
    </row>
    <row r="80" spans="1:9" s="22" customFormat="1" ht="13.5" hidden="1" customHeight="1" x14ac:dyDescent="0.2">
      <c r="B80" s="21"/>
      <c r="C80" s="147"/>
      <c r="D80" s="18">
        <f t="shared" ref="D80:I80" si="25">SUM(D78:D79)</f>
        <v>5914261</v>
      </c>
      <c r="E80" s="33">
        <f t="shared" si="25"/>
        <v>-227.69485222326128</v>
      </c>
      <c r="F80" s="18">
        <f t="shared" si="25"/>
        <v>5904021</v>
      </c>
      <c r="G80" s="33">
        <f t="shared" si="25"/>
        <v>-0.20232747729644984</v>
      </c>
      <c r="H80" s="18">
        <f t="shared" si="25"/>
        <v>5994791</v>
      </c>
      <c r="I80" s="33">
        <f t="shared" si="25"/>
        <v>-0.69399768130298867</v>
      </c>
    </row>
    <row r="81" spans="1:10" s="22" customFormat="1" ht="13.5" hidden="1" customHeight="1" x14ac:dyDescent="0.2">
      <c r="B81" s="21"/>
      <c r="C81" s="147"/>
      <c r="D81" s="18" t="e">
        <f>-SUM(#REF!)</f>
        <v>#REF!</v>
      </c>
      <c r="E81" s="33" t="e">
        <f>-SUM(#REF!)</f>
        <v>#REF!</v>
      </c>
      <c r="F81" s="18" t="e">
        <f>-SUM(#REF!)</f>
        <v>#REF!</v>
      </c>
      <c r="G81" s="18" t="e">
        <f>-SUM(#REF!)</f>
        <v>#REF!</v>
      </c>
      <c r="H81" s="18" t="e">
        <f>-SUM(#REF!)</f>
        <v>#REF!</v>
      </c>
      <c r="I81" s="18" t="e">
        <f>-SUM(#REF!)</f>
        <v>#REF!</v>
      </c>
    </row>
    <row r="82" spans="1:10" s="19" customFormat="1" ht="13.5" hidden="1" customHeight="1" x14ac:dyDescent="0.2">
      <c r="B82" s="21"/>
      <c r="C82" s="147"/>
      <c r="D82" s="18" t="e">
        <f t="shared" ref="D82:G82" si="26">SUM(D80:D81)</f>
        <v>#REF!</v>
      </c>
      <c r="E82" s="33" t="e">
        <f t="shared" si="26"/>
        <v>#REF!</v>
      </c>
      <c r="F82" s="18" t="e">
        <f t="shared" si="26"/>
        <v>#REF!</v>
      </c>
      <c r="G82" s="18" t="e">
        <f t="shared" si="26"/>
        <v>#REF!</v>
      </c>
      <c r="H82" s="18" t="e">
        <f t="shared" ref="H82:I82" si="27">SUM(H80:H81)</f>
        <v>#REF!</v>
      </c>
      <c r="I82" s="18" t="e">
        <f t="shared" si="27"/>
        <v>#REF!</v>
      </c>
    </row>
    <row r="83" spans="1:10" s="19" customFormat="1" ht="13.5" hidden="1" customHeight="1" x14ac:dyDescent="0.2">
      <c r="B83" s="21"/>
      <c r="C83" s="147"/>
      <c r="D83" s="18" t="e">
        <f>-SUM(#REF!)</f>
        <v>#REF!</v>
      </c>
      <c r="E83" s="18" t="e">
        <f>-SUM(#REF!)</f>
        <v>#REF!</v>
      </c>
      <c r="F83" s="18" t="e">
        <f>-SUM(#REF!)</f>
        <v>#REF!</v>
      </c>
      <c r="G83" s="18" t="e">
        <f>-SUM(#REF!)</f>
        <v>#REF!</v>
      </c>
      <c r="H83" s="18" t="e">
        <f>-SUM(#REF!)</f>
        <v>#REF!</v>
      </c>
      <c r="I83" s="18" t="e">
        <f>-SUM(#REF!)</f>
        <v>#REF!</v>
      </c>
    </row>
    <row r="84" spans="1:10" s="19" customFormat="1" ht="13.5" hidden="1" customHeight="1" x14ac:dyDescent="0.2">
      <c r="B84" s="21"/>
      <c r="C84" s="147"/>
      <c r="D84" s="18" t="e">
        <f>-SUM(D68:D68)-#REF!</f>
        <v>#REF!</v>
      </c>
      <c r="E84" s="18" t="e">
        <f>-SUM(E68:E68)-#REF!</f>
        <v>#REF!</v>
      </c>
      <c r="F84" s="18" t="e">
        <f>-SUM(F68:F68)-#REF!</f>
        <v>#REF!</v>
      </c>
      <c r="G84" s="18" t="e">
        <f>-SUM(G68:G68)-#REF!</f>
        <v>#REF!</v>
      </c>
      <c r="H84" s="18" t="e">
        <f>-SUM(H68:H68)-#REF!</f>
        <v>#REF!</v>
      </c>
      <c r="I84" s="18" t="e">
        <f>-SUM(I68:I68)-#REF!</f>
        <v>#REF!</v>
      </c>
    </row>
    <row r="85" spans="1:10" s="24" customFormat="1" ht="13.5" hidden="1" customHeight="1" x14ac:dyDescent="0.2">
      <c r="B85" s="23"/>
      <c r="C85" s="147"/>
      <c r="D85" s="17" t="e">
        <f>SUM(D82:D84)</f>
        <v>#REF!</v>
      </c>
      <c r="E85" s="34" t="e">
        <f>SUM(E82:E83)</f>
        <v>#REF!</v>
      </c>
      <c r="F85" s="17" t="e">
        <f>SUM(F82:F84)-F101</f>
        <v>#REF!</v>
      </c>
      <c r="G85" s="17" t="e">
        <f>SUM(G82:G84)-G101</f>
        <v>#REF!</v>
      </c>
      <c r="H85" s="17" t="e">
        <f>SUM(H82:H84)-H101</f>
        <v>#REF!</v>
      </c>
      <c r="I85" s="17" t="e">
        <f>SUM(I82:I84)-I101</f>
        <v>#REF!</v>
      </c>
    </row>
    <row r="86" spans="1:10" s="4" customFormat="1" ht="15.75" thickTop="1" thickBot="1" x14ac:dyDescent="0.25">
      <c r="A86" s="182">
        <v>49</v>
      </c>
      <c r="B86" s="172" t="s">
        <v>58</v>
      </c>
      <c r="C86" s="166">
        <v>-8240</v>
      </c>
      <c r="D86" s="180">
        <v>-8240</v>
      </c>
      <c r="E86" s="184">
        <f>D86/C86*100</f>
        <v>100</v>
      </c>
      <c r="F86" s="180">
        <v>-8240</v>
      </c>
      <c r="G86" s="77">
        <f>F86/D86*100</f>
        <v>100</v>
      </c>
      <c r="H86" s="180">
        <v>-8240</v>
      </c>
      <c r="I86" s="77">
        <f>H86/F86*100</f>
        <v>100</v>
      </c>
    </row>
    <row r="87" spans="1:10" s="4" customFormat="1" ht="24.75" customHeight="1" thickTop="1" thickBot="1" x14ac:dyDescent="0.3">
      <c r="A87" s="183">
        <v>50</v>
      </c>
      <c r="B87" s="173" t="s">
        <v>60</v>
      </c>
      <c r="C87" s="174">
        <f>C78+C86</f>
        <v>4621790</v>
      </c>
      <c r="D87" s="181">
        <f>D78+D86</f>
        <v>5052862</v>
      </c>
      <c r="E87" s="175">
        <f>D87/C87*100</f>
        <v>109.32694908249833</v>
      </c>
      <c r="F87" s="181">
        <f>F78+F86</f>
        <v>5042622</v>
      </c>
      <c r="G87" s="175">
        <f>F87/D87*100</f>
        <v>99.797342575356311</v>
      </c>
      <c r="H87" s="181">
        <f>H78+H86</f>
        <v>5115210</v>
      </c>
      <c r="I87" s="175">
        <f>H87/F87*100</f>
        <v>101.43948921810914</v>
      </c>
    </row>
    <row r="88" spans="1:10" s="24" customFormat="1" ht="13.5" customHeight="1" thickTop="1" x14ac:dyDescent="0.2">
      <c r="B88" s="23"/>
      <c r="C88" s="147"/>
      <c r="D88" s="17"/>
      <c r="E88" s="34"/>
      <c r="F88" s="17"/>
      <c r="G88" s="17"/>
      <c r="H88" s="17"/>
      <c r="I88" s="17"/>
    </row>
    <row r="89" spans="1:10" s="7" customFormat="1" ht="13.5" customHeight="1" thickBot="1" x14ac:dyDescent="0.25">
      <c r="B89" s="9"/>
      <c r="C89" s="147"/>
      <c r="D89" s="11"/>
      <c r="E89" s="12"/>
      <c r="F89" s="10"/>
      <c r="G89" s="12"/>
      <c r="H89" s="10"/>
      <c r="I89" s="12"/>
    </row>
    <row r="90" spans="1:10" s="30" customFormat="1" ht="17.100000000000001" customHeight="1" thickBot="1" x14ac:dyDescent="0.25">
      <c r="A90" s="120">
        <v>51</v>
      </c>
      <c r="B90" s="121" t="s">
        <v>7</v>
      </c>
      <c r="C90" s="122">
        <f>SUM(C33)</f>
        <v>4554855</v>
      </c>
      <c r="D90" s="122">
        <f>SUM(D33)</f>
        <v>5206021.25</v>
      </c>
      <c r="E90" s="123">
        <f>D90/C90*100</f>
        <v>114.29609175264635</v>
      </c>
      <c r="F90" s="122">
        <f>SUM(F33)</f>
        <v>5295781.3624999998</v>
      </c>
      <c r="G90" s="124">
        <f>F90/D90*100</f>
        <v>101.72415954890694</v>
      </c>
      <c r="H90" s="122">
        <f>SUM(H33)</f>
        <v>5386551.4806249999</v>
      </c>
      <c r="I90" s="124">
        <f>H90/F90*100</f>
        <v>101.71400803605211</v>
      </c>
    </row>
    <row r="91" spans="1:10" s="30" customFormat="1" ht="17.100000000000001" hidden="1" customHeight="1" thickTop="1" thickBot="1" x14ac:dyDescent="0.25">
      <c r="A91" s="125">
        <v>24</v>
      </c>
      <c r="B91" s="65" t="s">
        <v>6</v>
      </c>
      <c r="C91" s="148"/>
      <c r="D91" s="44">
        <f>D24-D78</f>
        <v>153159.25</v>
      </c>
      <c r="E91" s="45" t="e">
        <f>D91/#REF!*100</f>
        <v>#REF!</v>
      </c>
      <c r="F91" s="44">
        <f>F24-F78</f>
        <v>253159.36249999981</v>
      </c>
      <c r="G91" s="126">
        <f>F91/D91*100</f>
        <v>165.29159192148032</v>
      </c>
      <c r="H91" s="44">
        <f>H24-H78</f>
        <v>271341.48062499985</v>
      </c>
      <c r="I91" s="126">
        <f>H91/F91*100</f>
        <v>107.18208402227273</v>
      </c>
    </row>
    <row r="92" spans="1:10" s="30" customFormat="1" ht="17.100000000000001" customHeight="1" thickTop="1" thickBot="1" x14ac:dyDescent="0.25">
      <c r="A92" s="125">
        <v>52</v>
      </c>
      <c r="B92" s="64" t="s">
        <v>5</v>
      </c>
      <c r="C92" s="42">
        <f>C87</f>
        <v>4621790</v>
      </c>
      <c r="D92" s="42">
        <f>D87</f>
        <v>5052862</v>
      </c>
      <c r="E92" s="43">
        <f>D92/C92*100</f>
        <v>109.32694908249833</v>
      </c>
      <c r="F92" s="42">
        <f>SUM(F87)</f>
        <v>5042622</v>
      </c>
      <c r="G92" s="127">
        <f>F92/D92*100</f>
        <v>99.797342575356311</v>
      </c>
      <c r="H92" s="42">
        <f>SUM(H87)</f>
        <v>5115210</v>
      </c>
      <c r="I92" s="127">
        <f>H92/F92*100</f>
        <v>101.43948921810914</v>
      </c>
      <c r="J92" s="157"/>
    </row>
    <row r="93" spans="1:10" s="30" customFormat="1" ht="16.5" customHeight="1" thickTop="1" thickBot="1" x14ac:dyDescent="0.25">
      <c r="A93" s="128">
        <v>53</v>
      </c>
      <c r="B93" s="106" t="s">
        <v>8</v>
      </c>
      <c r="C93" s="149">
        <f>SUM(C94,C95,C99)</f>
        <v>66935</v>
      </c>
      <c r="D93" s="107">
        <f>SUM(D95,D99)</f>
        <v>-153159</v>
      </c>
      <c r="E93" s="187">
        <f>-D93/C93*100</f>
        <v>228.81750952416522</v>
      </c>
      <c r="F93" s="107">
        <f>SUM(F94:F95,F99)</f>
        <v>-253159</v>
      </c>
      <c r="G93" s="126">
        <f>F93/D93*100</f>
        <v>165.29162504325569</v>
      </c>
      <c r="H93" s="107">
        <f>SUM(H94:H95,H99)</f>
        <v>-271341</v>
      </c>
      <c r="I93" s="126">
        <f>H93/F93*100</f>
        <v>107.18204764594583</v>
      </c>
    </row>
    <row r="94" spans="1:10" s="95" customFormat="1" ht="38.25" customHeight="1" thickTop="1" x14ac:dyDescent="0.25">
      <c r="A94" s="129">
        <v>54</v>
      </c>
      <c r="B94" s="98" t="s">
        <v>29</v>
      </c>
      <c r="C94" s="150">
        <v>247878</v>
      </c>
      <c r="D94" s="99">
        <v>0</v>
      </c>
      <c r="E94" s="102">
        <f>D94/C94*100</f>
        <v>0</v>
      </c>
      <c r="F94" s="99">
        <v>0</v>
      </c>
      <c r="G94" s="130">
        <v>0</v>
      </c>
      <c r="H94" s="99">
        <v>0</v>
      </c>
      <c r="I94" s="130">
        <v>0</v>
      </c>
    </row>
    <row r="95" spans="1:10" s="103" customFormat="1" ht="18" customHeight="1" x14ac:dyDescent="0.25">
      <c r="A95" s="131">
        <v>55</v>
      </c>
      <c r="B95" s="100" t="s">
        <v>28</v>
      </c>
      <c r="C95" s="151">
        <f>SUM(C96:C98)</f>
        <v>72216</v>
      </c>
      <c r="D95" s="101">
        <f>SUM(D96:D98)</f>
        <v>700000</v>
      </c>
      <c r="E95" s="102">
        <f t="shared" ref="E95" si="28">D95/C95*100</f>
        <v>969.31427938407001</v>
      </c>
      <c r="F95" s="101">
        <f>SUM(F96:F98)</f>
        <v>600000</v>
      </c>
      <c r="G95" s="130">
        <f>F95/D95*100</f>
        <v>85.714285714285708</v>
      </c>
      <c r="H95" s="101">
        <f>SUM(H96:H98)</f>
        <v>600000</v>
      </c>
      <c r="I95" s="130">
        <f>H95/F95*100</f>
        <v>100</v>
      </c>
    </row>
    <row r="96" spans="1:10" s="16" customFormat="1" ht="18" customHeight="1" x14ac:dyDescent="0.2">
      <c r="A96" s="132">
        <v>56</v>
      </c>
      <c r="B96" s="66" t="s">
        <v>78</v>
      </c>
      <c r="C96" s="200">
        <v>72216</v>
      </c>
      <c r="D96" s="40">
        <v>0</v>
      </c>
      <c r="E96" s="41">
        <v>0</v>
      </c>
      <c r="F96" s="40">
        <v>0</v>
      </c>
      <c r="G96" s="133">
        <v>0</v>
      </c>
      <c r="H96" s="40">
        <v>0</v>
      </c>
      <c r="I96" s="133">
        <v>0</v>
      </c>
    </row>
    <row r="97" spans="1:9" s="16" customFormat="1" ht="18" customHeight="1" x14ac:dyDescent="0.2">
      <c r="A97" s="132">
        <v>57</v>
      </c>
      <c r="B97" s="66" t="s">
        <v>77</v>
      </c>
      <c r="C97" s="201">
        <v>0</v>
      </c>
      <c r="D97" s="202">
        <v>600000</v>
      </c>
      <c r="E97" s="41">
        <v>0</v>
      </c>
      <c r="F97" s="202">
        <v>600000</v>
      </c>
      <c r="G97" s="133">
        <f>F97/D97*100</f>
        <v>100</v>
      </c>
      <c r="H97" s="202">
        <v>600000</v>
      </c>
      <c r="I97" s="133">
        <f>H97/F97*100</f>
        <v>100</v>
      </c>
    </row>
    <row r="98" spans="1:9" s="16" customFormat="1" ht="18" customHeight="1" x14ac:dyDescent="0.2">
      <c r="A98" s="132">
        <v>58</v>
      </c>
      <c r="B98" s="66" t="s">
        <v>80</v>
      </c>
      <c r="C98" s="201">
        <v>0</v>
      </c>
      <c r="D98" s="202">
        <v>100000</v>
      </c>
      <c r="E98" s="41">
        <v>0</v>
      </c>
      <c r="F98" s="202">
        <v>0</v>
      </c>
      <c r="G98" s="133">
        <v>0</v>
      </c>
      <c r="H98" s="202">
        <v>0</v>
      </c>
      <c r="I98" s="133">
        <v>0</v>
      </c>
    </row>
    <row r="99" spans="1:9" s="103" customFormat="1" ht="18" customHeight="1" x14ac:dyDescent="0.25">
      <c r="A99" s="135">
        <v>59</v>
      </c>
      <c r="B99" s="104" t="s">
        <v>39</v>
      </c>
      <c r="C99" s="203">
        <f>SUM(C100:C117)</f>
        <v>-253159</v>
      </c>
      <c r="D99" s="105">
        <f>SUM(D100:D117)</f>
        <v>-853159</v>
      </c>
      <c r="E99" s="102">
        <f t="shared" ref="E99:E115" si="29">D99/C99*100</f>
        <v>337.00520226418973</v>
      </c>
      <c r="F99" s="105">
        <f>SUM(F100:F117)</f>
        <v>-853159</v>
      </c>
      <c r="G99" s="130">
        <f>F99/D99*100</f>
        <v>100</v>
      </c>
      <c r="H99" s="105">
        <f>SUM(H100:H117)</f>
        <v>-871341</v>
      </c>
      <c r="I99" s="130">
        <f>H99/F99*100</f>
        <v>102.13113850993778</v>
      </c>
    </row>
    <row r="100" spans="1:9" ht="18" customHeight="1" x14ac:dyDescent="0.2">
      <c r="A100" s="134">
        <v>60</v>
      </c>
      <c r="B100" s="66" t="s">
        <v>75</v>
      </c>
      <c r="C100" s="201">
        <v>-43634</v>
      </c>
      <c r="D100" s="202">
        <v>-43634</v>
      </c>
      <c r="E100" s="26">
        <f t="shared" si="29"/>
        <v>100</v>
      </c>
      <c r="F100" s="202">
        <v>-43634</v>
      </c>
      <c r="G100" s="136">
        <f>F100/D100*100</f>
        <v>100</v>
      </c>
      <c r="H100" s="202">
        <v>-43634</v>
      </c>
      <c r="I100" s="136">
        <f>H100/F100*100</f>
        <v>100</v>
      </c>
    </row>
    <row r="101" spans="1:9" ht="18" customHeight="1" x14ac:dyDescent="0.2">
      <c r="A101" s="132">
        <v>61</v>
      </c>
      <c r="B101" s="75" t="s">
        <v>40</v>
      </c>
      <c r="C101" s="200">
        <v>-142858</v>
      </c>
      <c r="D101" s="40">
        <v>-142858</v>
      </c>
      <c r="E101" s="26">
        <f t="shared" si="29"/>
        <v>100</v>
      </c>
      <c r="F101" s="40">
        <v>-142858</v>
      </c>
      <c r="G101" s="136">
        <f>F101/D101*100</f>
        <v>100</v>
      </c>
      <c r="H101" s="40">
        <v>-142858</v>
      </c>
      <c r="I101" s="136">
        <f>H101/F101*100</f>
        <v>100</v>
      </c>
    </row>
    <row r="102" spans="1:9" s="39" customFormat="1" ht="14.25" hidden="1" x14ac:dyDescent="0.2">
      <c r="A102" s="134">
        <v>54</v>
      </c>
      <c r="B102" s="112"/>
      <c r="C102" s="204"/>
      <c r="D102" s="204"/>
      <c r="E102" s="26" t="e">
        <f t="shared" si="29"/>
        <v>#DIV/0!</v>
      </c>
      <c r="F102" s="204"/>
      <c r="G102" s="136" t="e">
        <f>F102/#REF!*100</f>
        <v>#REF!</v>
      </c>
      <c r="H102" s="204"/>
      <c r="I102" s="136" t="e">
        <f>H102/#REF!*100</f>
        <v>#REF!</v>
      </c>
    </row>
    <row r="103" spans="1:9" s="39" customFormat="1" ht="14.25" hidden="1" x14ac:dyDescent="0.2">
      <c r="A103" s="132">
        <v>55</v>
      </c>
      <c r="B103" s="112"/>
      <c r="C103" s="204"/>
      <c r="D103" s="204"/>
      <c r="E103" s="26" t="e">
        <f t="shared" si="29"/>
        <v>#DIV/0!</v>
      </c>
      <c r="F103" s="204"/>
      <c r="G103" s="136" t="e">
        <f>F103/#REF!*100</f>
        <v>#REF!</v>
      </c>
      <c r="H103" s="204"/>
      <c r="I103" s="136" t="e">
        <f>H103/#REF!*100</f>
        <v>#REF!</v>
      </c>
    </row>
    <row r="104" spans="1:9" ht="14.25" hidden="1" x14ac:dyDescent="0.2">
      <c r="A104" s="134">
        <v>56</v>
      </c>
      <c r="B104" s="205"/>
      <c r="C104" s="206"/>
      <c r="D104" s="206"/>
      <c r="E104" s="26" t="e">
        <f t="shared" si="29"/>
        <v>#DIV/0!</v>
      </c>
      <c r="F104" s="206"/>
      <c r="G104" s="136" t="e">
        <f>F104/#REF!*100</f>
        <v>#REF!</v>
      </c>
      <c r="H104" s="206"/>
      <c r="I104" s="136" t="e">
        <f>H104/#REF!*100</f>
        <v>#REF!</v>
      </c>
    </row>
    <row r="105" spans="1:9" s="46" customFormat="1" ht="14.25" hidden="1" x14ac:dyDescent="0.2">
      <c r="A105" s="132">
        <v>57</v>
      </c>
      <c r="B105" s="112"/>
      <c r="C105" s="204"/>
      <c r="D105" s="204"/>
      <c r="E105" s="26" t="e">
        <f t="shared" si="29"/>
        <v>#DIV/0!</v>
      </c>
      <c r="F105" s="204"/>
      <c r="G105" s="136" t="e">
        <f>F105/#REF!*100</f>
        <v>#REF!</v>
      </c>
      <c r="H105" s="204"/>
      <c r="I105" s="136" t="e">
        <f>H105/#REF!*100</f>
        <v>#REF!</v>
      </c>
    </row>
    <row r="106" spans="1:9" s="47" customFormat="1" ht="14.25" hidden="1" x14ac:dyDescent="0.2">
      <c r="A106" s="134">
        <v>58</v>
      </c>
      <c r="B106" s="112"/>
      <c r="C106" s="204"/>
      <c r="D106" s="204"/>
      <c r="E106" s="26" t="e">
        <f t="shared" si="29"/>
        <v>#DIV/0!</v>
      </c>
      <c r="F106" s="204"/>
      <c r="G106" s="136" t="e">
        <f>F106/#REF!*100</f>
        <v>#REF!</v>
      </c>
      <c r="H106" s="204"/>
      <c r="I106" s="136" t="e">
        <f>H106/#REF!*100</f>
        <v>#REF!</v>
      </c>
    </row>
    <row r="107" spans="1:9" s="4" customFormat="1" ht="14.25" hidden="1" x14ac:dyDescent="0.2">
      <c r="A107" s="132">
        <v>59</v>
      </c>
      <c r="B107" s="112"/>
      <c r="C107" s="204"/>
      <c r="D107" s="204"/>
      <c r="E107" s="26" t="e">
        <f t="shared" si="29"/>
        <v>#DIV/0!</v>
      </c>
      <c r="F107" s="204"/>
      <c r="G107" s="136" t="e">
        <f>F107/#REF!*100</f>
        <v>#REF!</v>
      </c>
      <c r="H107" s="204"/>
      <c r="I107" s="136" t="e">
        <f>H107/#REF!*100</f>
        <v>#REF!</v>
      </c>
    </row>
    <row r="108" spans="1:9" s="48" customFormat="1" ht="14.25" hidden="1" x14ac:dyDescent="0.2">
      <c r="A108" s="134">
        <v>60</v>
      </c>
      <c r="B108" s="113"/>
      <c r="C108" s="207"/>
      <c r="D108" s="207"/>
      <c r="E108" s="26" t="e">
        <f t="shared" si="29"/>
        <v>#DIV/0!</v>
      </c>
      <c r="F108" s="207"/>
      <c r="G108" s="136" t="e">
        <f>F108/#REF!*100</f>
        <v>#REF!</v>
      </c>
      <c r="H108" s="207"/>
      <c r="I108" s="136" t="e">
        <f>H108/#REF!*100</f>
        <v>#REF!</v>
      </c>
    </row>
    <row r="109" spans="1:9" s="4" customFormat="1" ht="14.25" hidden="1" x14ac:dyDescent="0.2">
      <c r="A109" s="132">
        <v>61</v>
      </c>
      <c r="B109" s="112"/>
      <c r="C109" s="204"/>
      <c r="D109" s="204"/>
      <c r="E109" s="26" t="e">
        <f t="shared" si="29"/>
        <v>#DIV/0!</v>
      </c>
      <c r="F109" s="204"/>
      <c r="G109" s="136" t="e">
        <f>F109/#REF!*100</f>
        <v>#REF!</v>
      </c>
      <c r="H109" s="204"/>
      <c r="I109" s="136" t="e">
        <f>H109/#REF!*100</f>
        <v>#REF!</v>
      </c>
    </row>
    <row r="110" spans="1:9" s="49" customFormat="1" ht="14.25" hidden="1" x14ac:dyDescent="0.2">
      <c r="A110" s="134">
        <v>62</v>
      </c>
      <c r="B110" s="114"/>
      <c r="C110" s="208"/>
      <c r="D110" s="208"/>
      <c r="E110" s="26" t="e">
        <f t="shared" si="29"/>
        <v>#DIV/0!</v>
      </c>
      <c r="F110" s="208"/>
      <c r="G110" s="136" t="e">
        <f>F110/#REF!*100</f>
        <v>#REF!</v>
      </c>
      <c r="H110" s="208"/>
      <c r="I110" s="136" t="e">
        <f>H110/#REF!*100</f>
        <v>#REF!</v>
      </c>
    </row>
    <row r="111" spans="1:9" s="4" customFormat="1" ht="14.25" hidden="1" x14ac:dyDescent="0.2">
      <c r="A111" s="132">
        <v>63</v>
      </c>
      <c r="B111" s="112"/>
      <c r="C111" s="204"/>
      <c r="D111" s="204"/>
      <c r="E111" s="26" t="e">
        <f t="shared" si="29"/>
        <v>#DIV/0!</v>
      </c>
      <c r="F111" s="204"/>
      <c r="G111" s="136" t="e">
        <f>F111/#REF!*100</f>
        <v>#REF!</v>
      </c>
      <c r="H111" s="204"/>
      <c r="I111" s="136" t="e">
        <f>H111/#REF!*100</f>
        <v>#REF!</v>
      </c>
    </row>
    <row r="112" spans="1:9" s="4" customFormat="1" ht="14.25" hidden="1" x14ac:dyDescent="0.2">
      <c r="A112" s="134">
        <v>64</v>
      </c>
      <c r="B112" s="112"/>
      <c r="C112" s="204"/>
      <c r="D112" s="204"/>
      <c r="E112" s="26" t="e">
        <f t="shared" si="29"/>
        <v>#DIV/0!</v>
      </c>
      <c r="F112" s="204"/>
      <c r="G112" s="136" t="e">
        <f>F112/#REF!*100</f>
        <v>#REF!</v>
      </c>
      <c r="H112" s="204"/>
      <c r="I112" s="136" t="e">
        <f>H112/#REF!*100</f>
        <v>#REF!</v>
      </c>
    </row>
    <row r="113" spans="1:10" s="4" customFormat="1" ht="14.25" hidden="1" x14ac:dyDescent="0.2">
      <c r="A113" s="132">
        <v>65</v>
      </c>
      <c r="B113" s="112"/>
      <c r="C113" s="204"/>
      <c r="D113" s="204"/>
      <c r="E113" s="26" t="e">
        <f t="shared" si="29"/>
        <v>#DIV/0!</v>
      </c>
      <c r="F113" s="204"/>
      <c r="G113" s="136" t="e">
        <f>F113/#REF!*100</f>
        <v>#REF!</v>
      </c>
      <c r="H113" s="204"/>
      <c r="I113" s="136" t="e">
        <f>H113/#REF!*100</f>
        <v>#REF!</v>
      </c>
    </row>
    <row r="114" spans="1:10" ht="14.25" hidden="1" x14ac:dyDescent="0.2">
      <c r="A114" s="134">
        <v>66</v>
      </c>
      <c r="B114" s="205"/>
      <c r="C114" s="206"/>
      <c r="D114" s="206"/>
      <c r="E114" s="26" t="e">
        <f t="shared" si="29"/>
        <v>#DIV/0!</v>
      </c>
      <c r="F114" s="204"/>
      <c r="G114" s="136" t="e">
        <f>F114/#REF!*100</f>
        <v>#REF!</v>
      </c>
      <c r="H114" s="204"/>
      <c r="I114" s="136" t="e">
        <f>H114/#REF!*100</f>
        <v>#REF!</v>
      </c>
    </row>
    <row r="115" spans="1:10" ht="18" customHeight="1" x14ac:dyDescent="0.2">
      <c r="A115" s="132">
        <v>62</v>
      </c>
      <c r="B115" s="75" t="s">
        <v>46</v>
      </c>
      <c r="C115" s="200">
        <v>-66667</v>
      </c>
      <c r="D115" s="40">
        <v>-66667</v>
      </c>
      <c r="E115" s="26">
        <f t="shared" si="29"/>
        <v>100</v>
      </c>
      <c r="F115" s="40">
        <v>-66667</v>
      </c>
      <c r="G115" s="136">
        <f>F115/D115*100</f>
        <v>100</v>
      </c>
      <c r="H115" s="40">
        <v>-66667</v>
      </c>
      <c r="I115" s="136">
        <f>H115/F115*100</f>
        <v>100</v>
      </c>
    </row>
    <row r="116" spans="1:10" ht="18" customHeight="1" x14ac:dyDescent="0.2">
      <c r="A116" s="132">
        <v>63</v>
      </c>
      <c r="B116" s="75" t="s">
        <v>76</v>
      </c>
      <c r="C116" s="200">
        <v>0</v>
      </c>
      <c r="D116" s="40">
        <v>-600000</v>
      </c>
      <c r="E116" s="26">
        <v>0</v>
      </c>
      <c r="F116" s="40">
        <v>-600000</v>
      </c>
      <c r="G116" s="136">
        <f>F116/D116*100</f>
        <v>100</v>
      </c>
      <c r="H116" s="40">
        <f>-600000</f>
        <v>-600000</v>
      </c>
      <c r="I116" s="136">
        <f>H116/F116*100</f>
        <v>100</v>
      </c>
    </row>
    <row r="117" spans="1:10" ht="17.25" customHeight="1" thickBot="1" x14ac:dyDescent="0.25">
      <c r="A117" s="137">
        <v>64</v>
      </c>
      <c r="B117" s="209" t="s">
        <v>81</v>
      </c>
      <c r="C117" s="210">
        <v>0</v>
      </c>
      <c r="D117" s="211">
        <v>0</v>
      </c>
      <c r="E117" s="212">
        <v>0</v>
      </c>
      <c r="F117" s="211">
        <v>0</v>
      </c>
      <c r="G117" s="213">
        <v>0</v>
      </c>
      <c r="H117" s="211">
        <v>-18182</v>
      </c>
      <c r="I117" s="213">
        <v>0</v>
      </c>
    </row>
    <row r="118" spans="1:10" x14ac:dyDescent="0.2">
      <c r="A118" s="230"/>
      <c r="B118" s="230"/>
      <c r="C118" s="108">
        <f>C90+C94+C95</f>
        <v>4874949</v>
      </c>
      <c r="D118" s="108">
        <f>D33+D94+D95</f>
        <v>5906021.25</v>
      </c>
      <c r="E118" s="108"/>
      <c r="F118" s="108">
        <f>F33+F94+F95</f>
        <v>5895781.3624999998</v>
      </c>
      <c r="G118" s="108"/>
      <c r="H118" s="108">
        <f>H33+H94+H95</f>
        <v>5986551.4806249999</v>
      </c>
      <c r="I118" s="108"/>
      <c r="J118" s="59"/>
    </row>
    <row r="119" spans="1:10" x14ac:dyDescent="0.2">
      <c r="A119" s="119"/>
      <c r="B119" s="119"/>
      <c r="C119" s="108">
        <f>C92-C99</f>
        <v>4874949</v>
      </c>
      <c r="D119" s="108">
        <f>D87-D99</f>
        <v>5906021</v>
      </c>
      <c r="E119" s="108"/>
      <c r="F119" s="108">
        <f t="shared" ref="F119:H119" si="30">F87-F99</f>
        <v>5895781</v>
      </c>
      <c r="G119" s="108"/>
      <c r="H119" s="108">
        <f t="shared" si="30"/>
        <v>5986551</v>
      </c>
      <c r="I119" s="108"/>
      <c r="J119" s="59"/>
    </row>
    <row r="120" spans="1:10" x14ac:dyDescent="0.2">
      <c r="A120" s="73"/>
      <c r="B120" s="110"/>
      <c r="C120" s="153"/>
      <c r="D120" s="115"/>
      <c r="E120" s="115"/>
      <c r="G120" s="118"/>
      <c r="I120" s="118"/>
      <c r="J120" s="59"/>
    </row>
    <row r="121" spans="1:10" x14ac:dyDescent="0.2">
      <c r="B121" s="111"/>
      <c r="C121" s="116">
        <f>C118-C119</f>
        <v>0</v>
      </c>
      <c r="D121" s="116">
        <f>D118-D119</f>
        <v>0.25</v>
      </c>
      <c r="E121" s="116"/>
      <c r="F121" s="115">
        <f>F118-F119</f>
        <v>0.36249999981373549</v>
      </c>
      <c r="G121" s="118"/>
      <c r="H121" s="115">
        <f>H118-H119</f>
        <v>0.48062499985098839</v>
      </c>
      <c r="I121" s="118"/>
      <c r="J121" s="59"/>
    </row>
    <row r="122" spans="1:10" x14ac:dyDescent="0.2">
      <c r="B122" s="111"/>
      <c r="C122" s="115">
        <f>C92-C90</f>
        <v>66935</v>
      </c>
      <c r="D122" s="115">
        <f>D92-D90</f>
        <v>-153159.25</v>
      </c>
      <c r="E122" s="115"/>
      <c r="F122" s="115">
        <f>F92-F90</f>
        <v>-253159.36249999981</v>
      </c>
      <c r="G122" s="115"/>
      <c r="H122" s="115">
        <f>H92-H90</f>
        <v>-271341.48062499985</v>
      </c>
      <c r="I122" s="115"/>
      <c r="J122" s="59"/>
    </row>
    <row r="123" spans="1:10" x14ac:dyDescent="0.2">
      <c r="B123" s="111"/>
      <c r="D123" s="108"/>
      <c r="E123" s="109"/>
      <c r="F123" s="108"/>
      <c r="G123" s="109"/>
      <c r="H123" s="108"/>
      <c r="I123" s="109"/>
    </row>
    <row r="124" spans="1:10" x14ac:dyDescent="0.2">
      <c r="D124" s="108"/>
      <c r="E124" s="108"/>
      <c r="F124" s="108"/>
      <c r="G124" s="109"/>
      <c r="H124" s="108"/>
      <c r="I124" s="109"/>
    </row>
    <row r="125" spans="1:10" x14ac:dyDescent="0.2">
      <c r="C125" s="2"/>
      <c r="D125" s="2"/>
      <c r="E125" s="2"/>
      <c r="F125" s="2"/>
      <c r="G125" s="2"/>
      <c r="H125" s="2"/>
      <c r="I125" s="2"/>
    </row>
    <row r="126" spans="1:10" x14ac:dyDescent="0.2">
      <c r="C126" s="2"/>
      <c r="D126" s="2"/>
      <c r="E126" s="2"/>
      <c r="F126" s="2"/>
      <c r="G126" s="2"/>
      <c r="H126" s="2"/>
      <c r="I126" s="2"/>
    </row>
    <row r="127" spans="1:10" x14ac:dyDescent="0.2">
      <c r="D127" s="108"/>
      <c r="E127" s="109"/>
      <c r="F127" s="108"/>
      <c r="G127" s="109"/>
      <c r="H127" s="108"/>
      <c r="I127" s="109"/>
    </row>
    <row r="128" spans="1:10" x14ac:dyDescent="0.2">
      <c r="F128" s="108"/>
      <c r="H128" s="108"/>
    </row>
  </sheetData>
  <mergeCells count="27">
    <mergeCell ref="D3:I3"/>
    <mergeCell ref="D36:I36"/>
    <mergeCell ref="C3:C6"/>
    <mergeCell ref="C36:C39"/>
    <mergeCell ref="A118:B118"/>
    <mergeCell ref="B3:B6"/>
    <mergeCell ref="A3:A6"/>
    <mergeCell ref="A36:A39"/>
    <mergeCell ref="B36:B39"/>
    <mergeCell ref="H4:H6"/>
    <mergeCell ref="I4:I6"/>
    <mergeCell ref="H37:H39"/>
    <mergeCell ref="I37:I39"/>
    <mergeCell ref="H63:H67"/>
    <mergeCell ref="I63:I67"/>
    <mergeCell ref="D63:D67"/>
    <mergeCell ref="E63:E67"/>
    <mergeCell ref="F63:F67"/>
    <mergeCell ref="G63:G67"/>
    <mergeCell ref="F4:F6"/>
    <mergeCell ref="G4:G6"/>
    <mergeCell ref="D4:D6"/>
    <mergeCell ref="E4:E6"/>
    <mergeCell ref="F37:F39"/>
    <mergeCell ref="G37:G39"/>
    <mergeCell ref="D37:D39"/>
    <mergeCell ref="E37:E39"/>
  </mergeCells>
  <phoneticPr fontId="0" type="noConversion"/>
  <pageMargins left="0.98425196850393704" right="0.98425196850393704" top="0.39370078740157483" bottom="0.39370078740157483" header="0.51181102362204722" footer="0.51181102362204722"/>
  <pageSetup paperSize="8" scale="78" firstPageNumber="6" orientation="portrait" useFirstPageNumber="1" r:id="rId1"/>
  <headerFooter alignWithMargins="0">
    <oddFooter>&amp;L&amp;"Arial,Kurzíva"Zastupitelstvo Olomouckého kraje 19. 6. 2017
7. - Střednědobý výhled rozpočtu Olomouckého kraje na období 2018 - 2020
Příloha č. 1: Střednědobý výhled rozpočtu OK na období 2018 - 2020&amp;R&amp;"Arial,Kurzíva"Strana &amp;P (celkem 9)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Příloha č. 1</vt:lpstr>
      <vt:lpstr>'Příloha č. 1'!Oblast_tisku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Vítková Petra</dc:creator>
  <cp:lastModifiedBy>Vítková Petra</cp:lastModifiedBy>
  <cp:lastPrinted>2017-06-01T12:07:46Z</cp:lastPrinted>
  <dcterms:created xsi:type="dcterms:W3CDTF">2007-01-30T08:08:06Z</dcterms:created>
  <dcterms:modified xsi:type="dcterms:W3CDTF">2017-06-01T12:07:57Z</dcterms:modified>
</cp:coreProperties>
</file>