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20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úvěru'!$B$1:$AB$62</definedName>
  </definedNames>
  <calcPr calcId="162913"/>
</workbook>
</file>

<file path=xl/calcChain.xml><?xml version="1.0" encoding="utf-8"?>
<calcChain xmlns="http://schemas.openxmlformats.org/spreadsheetml/2006/main">
  <c r="AA61" i="6" l="1"/>
  <c r="F61" i="6"/>
  <c r="AB61" i="6"/>
  <c r="G61" i="6" l="1"/>
  <c r="E61" i="6"/>
  <c r="F39" i="6" l="1"/>
  <c r="G43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F60" i="6"/>
  <c r="AB60" i="6" s="1"/>
  <c r="G22" i="6"/>
  <c r="F59" i="6"/>
  <c r="AB59" i="6" s="1"/>
  <c r="G58" i="6"/>
  <c r="F58" i="6"/>
  <c r="AB58" i="6" s="1"/>
  <c r="F40" i="6"/>
  <c r="F57" i="6"/>
  <c r="AB57" i="6" s="1"/>
  <c r="F56" i="6" l="1"/>
  <c r="F55" i="6"/>
  <c r="F54" i="6"/>
  <c r="F53" i="6"/>
  <c r="F51" i="6"/>
  <c r="F52" i="6"/>
  <c r="F43" i="6"/>
  <c r="F44" i="6"/>
  <c r="F45" i="6"/>
  <c r="F46" i="6"/>
  <c r="F47" i="6"/>
  <c r="F48" i="6"/>
  <c r="F49" i="6"/>
  <c r="F50" i="6"/>
  <c r="F42" i="6"/>
  <c r="F31" i="6"/>
  <c r="F32" i="6"/>
  <c r="F33" i="6"/>
  <c r="F34" i="6"/>
  <c r="F35" i="6"/>
  <c r="F36" i="6"/>
  <c r="F37" i="6"/>
  <c r="F38" i="6"/>
  <c r="F30" i="6"/>
  <c r="F29" i="6"/>
  <c r="F28" i="6"/>
  <c r="F23" i="6"/>
  <c r="F24" i="6"/>
  <c r="F25" i="6"/>
  <c r="F26" i="6"/>
  <c r="F27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5" i="6"/>
  <c r="F4" i="6"/>
  <c r="AB56" i="6" l="1"/>
  <c r="H38" i="6" l="1"/>
  <c r="H13" i="6"/>
  <c r="H9" i="6"/>
  <c r="H10" i="6" l="1"/>
  <c r="H32" i="6"/>
  <c r="H52" i="6" l="1"/>
  <c r="AB40" i="6"/>
  <c r="AB62" i="6" s="1"/>
  <c r="L40" i="6"/>
  <c r="J40" i="6"/>
  <c r="H40" i="6"/>
  <c r="E55" i="6" l="1"/>
  <c r="I33" i="6"/>
  <c r="AB55" i="6" l="1"/>
  <c r="I38" i="6" l="1"/>
  <c r="AB54" i="6" l="1"/>
  <c r="I16" i="6"/>
  <c r="AB53" i="6" l="1"/>
  <c r="I52" i="6"/>
  <c r="AB52" i="6" l="1"/>
  <c r="AB51" i="6"/>
  <c r="J14" i="6" l="1"/>
  <c r="J10" i="6" l="1"/>
  <c r="J5" i="6" l="1"/>
  <c r="J9" i="6" l="1"/>
  <c r="J50" i="6" l="1"/>
  <c r="AB50" i="6" s="1"/>
  <c r="AB48" i="6"/>
  <c r="AB49" i="6"/>
  <c r="J8" i="6" l="1"/>
  <c r="AB47" i="6" l="1"/>
  <c r="J25" i="6"/>
  <c r="J16" i="6"/>
  <c r="J44" i="6" l="1"/>
  <c r="AB46" i="6" l="1"/>
  <c r="AB45" i="6" l="1"/>
  <c r="K10" i="6" l="1"/>
  <c r="K9" i="6" l="1"/>
  <c r="K44" i="6"/>
  <c r="AB44" i="6"/>
  <c r="L16" i="6" l="1"/>
  <c r="L11" i="6"/>
  <c r="AB43" i="6" l="1"/>
  <c r="AB42" i="6"/>
  <c r="L33" i="6" l="1"/>
  <c r="AB39" i="6" l="1"/>
  <c r="AB38" i="6"/>
  <c r="M30" i="6" l="1"/>
  <c r="AB36" i="6" l="1"/>
  <c r="AB37" i="6"/>
  <c r="M11" i="6" l="1"/>
  <c r="M10" i="6"/>
  <c r="M5" i="6"/>
  <c r="AB35" i="6"/>
  <c r="AB34" i="6" l="1"/>
  <c r="N31" i="6" l="1"/>
  <c r="N33" i="6"/>
  <c r="AB33" i="6" s="1"/>
  <c r="N5" i="6"/>
  <c r="N25" i="6"/>
  <c r="N9" i="6"/>
  <c r="N10" i="6"/>
  <c r="AB26" i="6" l="1"/>
  <c r="AB27" i="6"/>
  <c r="AB28" i="6"/>
  <c r="AB29" i="6"/>
  <c r="AB30" i="6"/>
  <c r="AB31" i="6"/>
  <c r="AB32" i="6"/>
  <c r="O10" i="6" l="1"/>
  <c r="O9" i="6" l="1"/>
  <c r="O5" i="6"/>
  <c r="O24" i="6"/>
  <c r="AB25" i="6"/>
  <c r="O23" i="6"/>
  <c r="O8" i="6"/>
  <c r="AB20" i="6"/>
  <c r="AB21" i="6"/>
  <c r="AB22" i="6"/>
  <c r="AB23" i="6"/>
  <c r="AB24" i="6" l="1"/>
  <c r="AB19" i="6"/>
  <c r="AA4" i="6" l="1"/>
  <c r="AB4" i="6" l="1"/>
  <c r="Q11" i="6"/>
  <c r="AB15" i="6"/>
  <c r="AB16" i="6"/>
  <c r="AB18" i="6"/>
  <c r="AB17" i="6"/>
  <c r="AB13" i="6" l="1"/>
  <c r="AB14" i="6"/>
  <c r="AB12" i="6" l="1"/>
  <c r="AB9" i="6"/>
  <c r="AB7" i="6"/>
  <c r="S11" i="6"/>
  <c r="AB11" i="6" l="1"/>
  <c r="V6" i="6"/>
  <c r="Y6" i="6"/>
  <c r="Y8" i="6"/>
  <c r="Z6" i="6"/>
  <c r="Z5" i="6"/>
  <c r="AB6" i="6" l="1"/>
  <c r="AB8" i="6"/>
  <c r="Z10" i="6"/>
  <c r="AB10" i="6" l="1"/>
  <c r="AB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Z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Není v návrhu rozpočtu na rok 2018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28 898 062,38 Kč (přepočteno kurzem ČNB k 8. 8. 2018 - 25,58 CZK/EUR)</t>
        </r>
      </text>
    </comment>
  </commentList>
</comments>
</file>

<file path=xl/sharedStrings.xml><?xml version="1.0" encoding="utf-8"?>
<sst xmlns="http://schemas.openxmlformats.org/spreadsheetml/2006/main" count="130" uniqueCount="110">
  <si>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</si>
  <si>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</si>
  <si>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</si>
  <si>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</si>
  <si>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</si>
  <si>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</si>
  <si>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</si>
  <si>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</si>
  <si>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</si>
  <si>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</si>
  <si>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</si>
  <si>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</si>
  <si>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</si>
  <si>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</si>
  <si>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</si>
  <si>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</si>
  <si>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</si>
  <si>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</si>
  <si>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</si>
  <si>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</si>
  <si>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</si>
  <si>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</si>
  <si>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</si>
  <si>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</si>
  <si>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</si>
  <si>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</si>
  <si>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</si>
  <si>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</si>
  <si>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</si>
  <si>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</si>
  <si>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</si>
  <si>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</si>
  <si>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</si>
  <si>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</si>
  <si>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</si>
  <si>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</si>
  <si>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</si>
  <si>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</si>
  <si>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</si>
  <si>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</si>
  <si>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</si>
  <si>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</si>
  <si>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</si>
  <si>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</si>
  <si>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</si>
  <si>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</si>
  <si>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</si>
  <si>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</si>
  <si>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</si>
  <si>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</si>
  <si>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</si>
  <si>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</si>
  <si>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</si>
  <si>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</si>
  <si>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</si>
  <si>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</si>
  <si>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</si>
  <si>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</si>
  <si>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</si>
  <si>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</si>
  <si>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</si>
  <si>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</si>
  <si>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</si>
  <si>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</si>
  <si>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</si>
  <si>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</si>
  <si>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</si>
  <si>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</si>
  <si>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</si>
  <si>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</si>
  <si>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</si>
  <si>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</si>
  <si>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</si>
  <si>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</si>
  <si>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</si>
  <si>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</si>
  <si>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</si>
  <si>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</si>
  <si>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</si>
  <si>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</si>
  <si>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</si>
  <si>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</si>
  <si>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</si>
  <si>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</si>
  <si>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</si>
  <si>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</si>
  <si>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</si>
  <si>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</si>
  <si>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</si>
  <si>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</si>
  <si>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</si>
  <si>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</si>
  <si>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</si>
  <si>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</si>
  <si>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</si>
  <si>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</si>
  <si>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</si>
  <si>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</si>
  <si>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</si>
  <si>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</si>
  <si>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</si>
  <si>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</si>
  <si>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</si>
  <si>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20. dílčí čerpání revolvingu KB (10.9.2018)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</si>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</sst>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0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0" borderId="45" xfId="0" applyNumberFormat="1" applyFont="1" applyFill="1" applyBorder="1" applyAlignment="1">
      <alignment horizontal="right" vertical="center"/>
    </xf>
    <xf numFmtId="4" fontId="5" fillId="0" borderId="46" xfId="0" applyNumberFormat="1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4" fontId="5" fillId="0" borderId="49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vertical="top" wrapText="1"/>
    </xf>
    <xf numFmtId="0" fontId="4" fillId="0" borderId="31" xfId="0" applyFont="1" applyFill="1" applyBorder="1" applyAlignment="1">
      <alignment vertical="top" wrapText="1"/>
    </xf>
    <xf numFmtId="4" fontId="4" fillId="0" borderId="31" xfId="0" applyNumberFormat="1" applyFont="1" applyFill="1" applyBorder="1" applyAlignment="1">
      <alignment horizontal="right" vertical="top"/>
    </xf>
    <xf numFmtId="4" fontId="19" fillId="0" borderId="29" xfId="0" applyNumberFormat="1" applyFont="1" applyFill="1" applyBorder="1" applyAlignment="1">
      <alignment horizontal="right" vertical="top"/>
    </xf>
    <xf numFmtId="4" fontId="19" fillId="0" borderId="34" xfId="0" applyNumberFormat="1" applyFont="1" applyFill="1" applyBorder="1" applyAlignment="1">
      <alignment horizontal="right" vertical="top"/>
    </xf>
    <xf numFmtId="0" fontId="5" fillId="0" borderId="50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vertical="center" wrapText="1"/>
    </xf>
    <xf numFmtId="4" fontId="5" fillId="0" borderId="50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right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vertical="center" wrapText="1"/>
    </xf>
    <xf numFmtId="4" fontId="5" fillId="0" borderId="56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2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1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4" fontId="5" fillId="0" borderId="43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center" vertical="center"/>
    </xf>
    <xf numFmtId="4" fontId="5" fillId="0" borderId="49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horizontal="right" vertical="top"/>
    </xf>
    <xf numFmtId="0" fontId="19" fillId="0" borderId="33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64"/>
  <sheetViews>
    <sheetView tabSelected="1" topLeftCell="A10" zoomScaleNormal="100" zoomScaleSheetLayoutView="100" workbookViewId="0">
      <selection activeCell="B62" sqref="B62:AA62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63.7109375" customWidth="1"/>
    <col min="5" max="5" width="17.7109375" customWidth="1"/>
    <col min="6" max="6" width="16.28515625" customWidth="1"/>
    <col min="7" max="21" width="16.28515625" hidden="1" customWidth="1"/>
    <col min="22" max="22" width="17.140625" hidden="1" customWidth="1"/>
    <col min="23" max="23" width="17.85546875" hidden="1" customWidth="1"/>
    <col min="24" max="24" width="19.42578125" hidden="1" customWidth="1"/>
    <col min="25" max="25" width="17.42578125" hidden="1" customWidth="1"/>
    <col min="26" max="26" width="15.140625" hidden="1" customWidth="1"/>
    <col min="27" max="27" width="17.42578125" customWidth="1"/>
    <col min="28" max="28" width="19.7109375" customWidth="1"/>
  </cols>
  <sheetData>
    <row r="1" spans="2:28" ht="19.5" thickBot="1" x14ac:dyDescent="0.35">
      <c r="B1" s="119" t="s">
        <v>38</v>
      </c>
      <c r="C1" s="119"/>
      <c r="D1" s="119"/>
      <c r="E1" s="119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1" t="s">
        <v>30</v>
      </c>
    </row>
    <row r="2" spans="2:28" ht="15.75" customHeight="1" thickTop="1" x14ac:dyDescent="0.25">
      <c r="B2" s="124" t="s">
        <v>5</v>
      </c>
      <c r="C2" s="122" t="s">
        <v>0</v>
      </c>
      <c r="D2" s="122" t="s">
        <v>1</v>
      </c>
      <c r="E2" s="126" t="s">
        <v>36</v>
      </c>
      <c r="F2" s="105" t="s">
        <v>28</v>
      </c>
      <c r="G2" s="105" t="s">
        <v>103</v>
      </c>
      <c r="H2" s="105" t="s">
        <v>104</v>
      </c>
      <c r="I2" s="105" t="s">
        <v>102</v>
      </c>
      <c r="J2" s="105" t="s">
        <v>98</v>
      </c>
      <c r="K2" s="105" t="s">
        <v>90</v>
      </c>
      <c r="L2" s="105" t="s">
        <v>85</v>
      </c>
      <c r="M2" s="105" t="s">
        <v>79</v>
      </c>
      <c r="N2" s="105" t="s">
        <v>78</v>
      </c>
      <c r="O2" s="105" t="s">
        <v>71</v>
      </c>
      <c r="P2" s="105" t="s">
        <v>58</v>
      </c>
      <c r="Q2" s="105" t="s">
        <v>56</v>
      </c>
      <c r="R2" s="105" t="s">
        <v>55</v>
      </c>
      <c r="S2" s="105" t="s">
        <v>47</v>
      </c>
      <c r="T2" s="105" t="s">
        <v>41</v>
      </c>
      <c r="U2" s="105" t="s">
        <v>57</v>
      </c>
      <c r="V2" s="105" t="s">
        <v>42</v>
      </c>
      <c r="W2" s="105" t="s">
        <v>43</v>
      </c>
      <c r="X2" s="105" t="s">
        <v>44</v>
      </c>
      <c r="Y2" s="105" t="s">
        <v>45</v>
      </c>
      <c r="Z2" s="105" t="s">
        <v>46</v>
      </c>
      <c r="AA2" s="105" t="s">
        <v>50</v>
      </c>
      <c r="AB2" s="120" t="s">
        <v>27</v>
      </c>
    </row>
    <row r="3" spans="2:28" ht="48.75" customHeight="1" thickBot="1" x14ac:dyDescent="0.3">
      <c r="B3" s="125"/>
      <c r="C3" s="123"/>
      <c r="D3" s="123"/>
      <c r="E3" s="127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21"/>
    </row>
    <row r="4" spans="2:28" ht="16.5" thickTop="1" x14ac:dyDescent="0.25">
      <c r="B4" s="55">
        <v>50</v>
      </c>
      <c r="C4" s="56">
        <v>100915</v>
      </c>
      <c r="D4" s="57" t="s">
        <v>31</v>
      </c>
      <c r="E4" s="58">
        <v>100827566.23</v>
      </c>
      <c r="F4" s="58">
        <f>SUM(G4:Z4)</f>
        <v>84555493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>
        <v>50732493</v>
      </c>
      <c r="Y4" s="58"/>
      <c r="Z4" s="58">
        <v>33823000</v>
      </c>
      <c r="AA4" s="58">
        <f>35722939.54+48832553.46</f>
        <v>84555493</v>
      </c>
      <c r="AB4" s="59">
        <f>F4-AA4</f>
        <v>0</v>
      </c>
    </row>
    <row r="5" spans="2:28" ht="15" customHeight="1" x14ac:dyDescent="0.25">
      <c r="B5" s="60">
        <v>52</v>
      </c>
      <c r="C5" s="61">
        <v>101080</v>
      </c>
      <c r="D5" s="62" t="s">
        <v>29</v>
      </c>
      <c r="E5" s="63">
        <v>43111962.899999999</v>
      </c>
      <c r="F5" s="63">
        <f>SUM(G5:Z5)</f>
        <v>15240345.300000001</v>
      </c>
      <c r="G5" s="63"/>
      <c r="H5" s="63">
        <v>572472</v>
      </c>
      <c r="I5" s="63">
        <v>4737.6000000000004</v>
      </c>
      <c r="J5" s="63">
        <f>4737.6+1599051.6+928194.3</f>
        <v>2531983.5</v>
      </c>
      <c r="K5" s="63"/>
      <c r="L5" s="63">
        <v>2691313.2</v>
      </c>
      <c r="M5" s="63">
        <f>548022.6+827964.9</f>
        <v>1375987.5</v>
      </c>
      <c r="N5" s="63">
        <f>112455+4737.6</f>
        <v>117192.6</v>
      </c>
      <c r="O5" s="63">
        <f>4737.6+548435.7</f>
        <v>553173.29999999993</v>
      </c>
      <c r="P5" s="63">
        <v>3202485.6</v>
      </c>
      <c r="Q5" s="63"/>
      <c r="R5" s="63"/>
      <c r="S5" s="63"/>
      <c r="T5" s="63"/>
      <c r="U5" s="63"/>
      <c r="V5" s="63"/>
      <c r="W5" s="63"/>
      <c r="X5" s="63"/>
      <c r="Y5" s="63"/>
      <c r="Z5" s="63">
        <f>15037000-7315000-431000-3100000</f>
        <v>4191000</v>
      </c>
      <c r="AA5" s="63">
        <v>4552634.8499999996</v>
      </c>
      <c r="AB5" s="64">
        <f>F5-AA5</f>
        <v>10687710.450000001</v>
      </c>
    </row>
    <row r="6" spans="2:28" ht="15.75" x14ac:dyDescent="0.25">
      <c r="B6" s="60">
        <v>12</v>
      </c>
      <c r="C6" s="61">
        <v>1600</v>
      </c>
      <c r="D6" s="62" t="s">
        <v>32</v>
      </c>
      <c r="E6" s="63">
        <v>164072363.22</v>
      </c>
      <c r="F6" s="63">
        <f t="shared" ref="F6:F27" si="0">SUM(G6:Z6)</f>
        <v>96630272.139999986</v>
      </c>
      <c r="G6" s="63"/>
      <c r="H6" s="63"/>
      <c r="I6" s="63"/>
      <c r="J6" s="63"/>
      <c r="K6" s="63"/>
      <c r="L6" s="63">
        <v>11479091.68</v>
      </c>
      <c r="M6" s="63">
        <v>3572543.77</v>
      </c>
      <c r="N6" s="63"/>
      <c r="O6" s="63"/>
      <c r="P6" s="63">
        <v>483066.76</v>
      </c>
      <c r="Q6" s="63"/>
      <c r="R6" s="63"/>
      <c r="S6" s="63">
        <v>13541731.43</v>
      </c>
      <c r="T6" s="63"/>
      <c r="U6" s="63">
        <v>12413444.029999999</v>
      </c>
      <c r="V6" s="63">
        <f>27436365.11-6090000-3100000</f>
        <v>18246365.109999999</v>
      </c>
      <c r="W6" s="63">
        <v>15658817.550000001</v>
      </c>
      <c r="X6" s="63">
        <v>8315262.8799999999</v>
      </c>
      <c r="Y6" s="63">
        <f>3729948.93+6090000</f>
        <v>9819948.9299999997</v>
      </c>
      <c r="Z6" s="63">
        <f>3100000</f>
        <v>3100000</v>
      </c>
      <c r="AA6" s="63">
        <v>81578636.709999993</v>
      </c>
      <c r="AB6" s="64">
        <f>F6-AA6</f>
        <v>15051635.429999992</v>
      </c>
    </row>
    <row r="7" spans="2:28" ht="15.75" x14ac:dyDescent="0.25">
      <c r="B7" s="60">
        <v>12</v>
      </c>
      <c r="C7" s="61">
        <v>1600</v>
      </c>
      <c r="D7" s="62" t="s">
        <v>33</v>
      </c>
      <c r="E7" s="63">
        <v>25919753.140000001</v>
      </c>
      <c r="F7" s="63">
        <f t="shared" si="0"/>
        <v>19126970.75</v>
      </c>
      <c r="G7" s="63"/>
      <c r="H7" s="63"/>
      <c r="I7" s="63"/>
      <c r="J7" s="63"/>
      <c r="K7" s="63"/>
      <c r="L7" s="63">
        <v>4049994.74</v>
      </c>
      <c r="M7" s="63">
        <v>4356</v>
      </c>
      <c r="N7" s="63"/>
      <c r="O7" s="63"/>
      <c r="P7" s="63"/>
      <c r="Q7" s="63"/>
      <c r="R7" s="63"/>
      <c r="S7" s="63"/>
      <c r="T7" s="63">
        <v>3237175.44</v>
      </c>
      <c r="U7" s="63">
        <v>6991149.0999999996</v>
      </c>
      <c r="V7" s="63">
        <v>4356</v>
      </c>
      <c r="W7" s="63">
        <v>3816000.31</v>
      </c>
      <c r="X7" s="63">
        <v>806397.55</v>
      </c>
      <c r="Y7" s="63">
        <v>217541.61</v>
      </c>
      <c r="Z7" s="63"/>
      <c r="AA7" s="63">
        <v>19030302.010000002</v>
      </c>
      <c r="AB7" s="64">
        <f t="shared" ref="AB7:AB14" si="1">F7-AA7</f>
        <v>96668.739999998361</v>
      </c>
    </row>
    <row r="8" spans="2:28" ht="31.5" x14ac:dyDescent="0.25">
      <c r="B8" s="60">
        <v>52</v>
      </c>
      <c r="C8" s="61">
        <v>100768</v>
      </c>
      <c r="D8" s="62" t="s">
        <v>34</v>
      </c>
      <c r="E8" s="63">
        <v>56075578.880000003</v>
      </c>
      <c r="F8" s="63">
        <f t="shared" si="0"/>
        <v>11529010.800000001</v>
      </c>
      <c r="G8" s="63"/>
      <c r="H8" s="63"/>
      <c r="I8" s="63">
        <v>2194943.2000000002</v>
      </c>
      <c r="J8" s="63">
        <f>2898+2584201.21</f>
        <v>2587099.21</v>
      </c>
      <c r="K8" s="63"/>
      <c r="L8" s="63">
        <v>1717251.88</v>
      </c>
      <c r="M8" s="63">
        <v>6012</v>
      </c>
      <c r="N8" s="63">
        <v>1911435.95</v>
      </c>
      <c r="O8" s="63">
        <f>1822719.58+107218.8-53669.82</f>
        <v>1876268.56</v>
      </c>
      <c r="P8" s="63"/>
      <c r="Q8" s="63"/>
      <c r="R8" s="63"/>
      <c r="S8" s="63"/>
      <c r="T8" s="63"/>
      <c r="U8" s="63"/>
      <c r="V8" s="63"/>
      <c r="W8" s="63"/>
      <c r="X8" s="63"/>
      <c r="Y8" s="63">
        <f>7326000-6090000</f>
        <v>1236000</v>
      </c>
      <c r="Z8" s="63"/>
      <c r="AA8" s="63"/>
      <c r="AB8" s="64">
        <f t="shared" si="1"/>
        <v>11529010.800000001</v>
      </c>
    </row>
    <row r="9" spans="2:28" ht="22.5" customHeight="1" x14ac:dyDescent="0.25">
      <c r="B9" s="60">
        <v>52</v>
      </c>
      <c r="C9" s="61">
        <v>101011</v>
      </c>
      <c r="D9" s="62" t="s">
        <v>35</v>
      </c>
      <c r="E9" s="63">
        <v>106577847.90000001</v>
      </c>
      <c r="F9" s="63">
        <f t="shared" si="0"/>
        <v>96162403.289999992</v>
      </c>
      <c r="G9" s="63"/>
      <c r="H9" s="63">
        <f>64251+3920.4+8253856.25+455873.15</f>
        <v>8777900.8000000007</v>
      </c>
      <c r="I9" s="63">
        <v>37570.5</v>
      </c>
      <c r="J9" s="63">
        <f>19057.5+21562.2+277140.63+17480024.21</f>
        <v>17797784.539999999</v>
      </c>
      <c r="K9" s="63">
        <f>19057.5+2327600.29+14532950.21</f>
        <v>16879608</v>
      </c>
      <c r="L9" s="63">
        <v>7350.75</v>
      </c>
      <c r="M9" s="63">
        <v>8820.9</v>
      </c>
      <c r="N9" s="63">
        <f>19057.5+11037194.45</f>
        <v>11056251.949999999</v>
      </c>
      <c r="O9" s="63">
        <f>4465625.29-155311.38</f>
        <v>4310313.91</v>
      </c>
      <c r="P9" s="63"/>
      <c r="Q9" s="63"/>
      <c r="R9" s="63">
        <v>4410.46</v>
      </c>
      <c r="S9" s="63"/>
      <c r="T9" s="63"/>
      <c r="U9" s="63">
        <v>11162291.48</v>
      </c>
      <c r="V9" s="63"/>
      <c r="W9" s="63"/>
      <c r="X9" s="63"/>
      <c r="Y9" s="63">
        <v>26120100</v>
      </c>
      <c r="Z9" s="63"/>
      <c r="AA9" s="63">
        <v>37054247.850000001</v>
      </c>
      <c r="AB9" s="64">
        <f t="shared" si="1"/>
        <v>59108155.43999999</v>
      </c>
    </row>
    <row r="10" spans="2:28" ht="22.5" customHeight="1" x14ac:dyDescent="0.25">
      <c r="B10" s="60">
        <v>50</v>
      </c>
      <c r="C10" s="61">
        <v>100913</v>
      </c>
      <c r="D10" s="62" t="s">
        <v>37</v>
      </c>
      <c r="E10" s="63">
        <v>186867763.41</v>
      </c>
      <c r="F10" s="63">
        <f t="shared" si="0"/>
        <v>145207492.47</v>
      </c>
      <c r="G10" s="63"/>
      <c r="H10" s="63">
        <f>98010+9583.2</f>
        <v>107593.2</v>
      </c>
      <c r="I10" s="63">
        <v>15743425.52</v>
      </c>
      <c r="J10" s="63">
        <f>30511556.7+9583.2+98010</f>
        <v>30619149.899999999</v>
      </c>
      <c r="K10" s="63">
        <f>98010+9583.2</f>
        <v>107593.2</v>
      </c>
      <c r="L10" s="63">
        <v>24281840.899999999</v>
      </c>
      <c r="M10" s="63">
        <f>9583.2+114345</f>
        <v>123928.2</v>
      </c>
      <c r="N10" s="63">
        <f>38136570.76</f>
        <v>38136570.759999998</v>
      </c>
      <c r="O10" s="63">
        <f>30293637.38+1781978.67+9583.2-3743808.46</f>
        <v>28341390.789999995</v>
      </c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>
        <f>7315000+431000</f>
        <v>7746000</v>
      </c>
      <c r="AA10" s="63">
        <v>74347889.730000004</v>
      </c>
      <c r="AB10" s="64">
        <f t="shared" si="1"/>
        <v>70859602.739999995</v>
      </c>
    </row>
    <row r="11" spans="2:28" ht="31.5" x14ac:dyDescent="0.25">
      <c r="B11" s="60">
        <v>52</v>
      </c>
      <c r="C11" s="61">
        <v>100876</v>
      </c>
      <c r="D11" s="62" t="s">
        <v>39</v>
      </c>
      <c r="E11" s="63">
        <v>14059857.4</v>
      </c>
      <c r="F11" s="63">
        <f t="shared" si="0"/>
        <v>9485106.8000000007</v>
      </c>
      <c r="G11" s="63"/>
      <c r="H11" s="63">
        <v>2289465.2000000002</v>
      </c>
      <c r="I11" s="63">
        <v>7744</v>
      </c>
      <c r="J11" s="63">
        <v>7744</v>
      </c>
      <c r="K11" s="63"/>
      <c r="L11" s="63">
        <f>7744+2944941.6</f>
        <v>2952685.6</v>
      </c>
      <c r="M11" s="63">
        <f>1001767.6</f>
        <v>1001767.6</v>
      </c>
      <c r="N11" s="63">
        <v>7744</v>
      </c>
      <c r="O11" s="63"/>
      <c r="P11" s="63">
        <v>7744</v>
      </c>
      <c r="Q11" s="63">
        <f>827852.4+7744</f>
        <v>835596.4</v>
      </c>
      <c r="R11" s="63"/>
      <c r="S11" s="63">
        <f>7744+2359128</f>
        <v>2366872</v>
      </c>
      <c r="T11" s="63">
        <v>7744</v>
      </c>
      <c r="U11" s="63"/>
      <c r="V11" s="63"/>
      <c r="W11" s="63"/>
      <c r="X11" s="63"/>
      <c r="Y11" s="63"/>
      <c r="Z11" s="63"/>
      <c r="AA11" s="63"/>
      <c r="AB11" s="64">
        <f t="shared" si="1"/>
        <v>9485106.8000000007</v>
      </c>
    </row>
    <row r="12" spans="2:28" ht="31.5" x14ac:dyDescent="0.25">
      <c r="B12" s="65">
        <v>19</v>
      </c>
      <c r="C12" s="66">
        <v>1160</v>
      </c>
      <c r="D12" s="67" t="s">
        <v>73</v>
      </c>
      <c r="E12" s="68">
        <v>3033505.38</v>
      </c>
      <c r="F12" s="63">
        <f t="shared" si="0"/>
        <v>963699.3</v>
      </c>
      <c r="G12" s="104"/>
      <c r="H12" s="68"/>
      <c r="I12" s="68"/>
      <c r="J12" s="68"/>
      <c r="K12" s="68"/>
      <c r="L12" s="68"/>
      <c r="M12" s="68"/>
      <c r="N12" s="68">
        <v>457598.7</v>
      </c>
      <c r="O12" s="68"/>
      <c r="P12" s="68"/>
      <c r="Q12" s="68"/>
      <c r="R12" s="68"/>
      <c r="S12" s="68">
        <v>506100.6</v>
      </c>
      <c r="T12" s="68"/>
      <c r="U12" s="68"/>
      <c r="V12" s="68"/>
      <c r="W12" s="68"/>
      <c r="X12" s="68"/>
      <c r="Y12" s="68"/>
      <c r="Z12" s="68"/>
      <c r="AA12" s="68"/>
      <c r="AB12" s="69">
        <f t="shared" si="1"/>
        <v>963699.3</v>
      </c>
    </row>
    <row r="13" spans="2:28" ht="31.5" x14ac:dyDescent="0.25">
      <c r="B13" s="60">
        <v>52</v>
      </c>
      <c r="C13" s="61">
        <v>101131</v>
      </c>
      <c r="D13" s="62" t="s">
        <v>48</v>
      </c>
      <c r="E13" s="63">
        <v>6600154.5</v>
      </c>
      <c r="F13" s="63">
        <f t="shared" si="0"/>
        <v>3620100.3899999997</v>
      </c>
      <c r="G13" s="104"/>
      <c r="H13" s="68">
        <f>1818431.56+28800</f>
        <v>1847231.56</v>
      </c>
      <c r="I13" s="68"/>
      <c r="J13" s="68">
        <v>1534698.28</v>
      </c>
      <c r="K13" s="68">
        <v>226408.02</v>
      </c>
      <c r="L13" s="68"/>
      <c r="M13" s="68"/>
      <c r="N13" s="68"/>
      <c r="O13" s="68"/>
      <c r="P13" s="68"/>
      <c r="Q13" s="68"/>
      <c r="R13" s="63">
        <v>11762.53</v>
      </c>
      <c r="S13" s="63"/>
      <c r="T13" s="63"/>
      <c r="U13" s="63"/>
      <c r="V13" s="63"/>
      <c r="W13" s="63"/>
      <c r="X13" s="63"/>
      <c r="Y13" s="63"/>
      <c r="Z13" s="63"/>
      <c r="AA13" s="63"/>
      <c r="AB13" s="69">
        <f t="shared" si="1"/>
        <v>3620100.3899999997</v>
      </c>
    </row>
    <row r="14" spans="2:28" ht="31.5" customHeight="1" x14ac:dyDescent="0.25">
      <c r="B14" s="65">
        <v>52</v>
      </c>
      <c r="C14" s="66">
        <v>101256</v>
      </c>
      <c r="D14" s="67" t="s">
        <v>49</v>
      </c>
      <c r="E14" s="68">
        <v>655578</v>
      </c>
      <c r="F14" s="63">
        <f t="shared" si="0"/>
        <v>655578</v>
      </c>
      <c r="G14" s="104"/>
      <c r="H14" s="68"/>
      <c r="I14" s="68"/>
      <c r="J14" s="68">
        <f>1036620.14-382246.14</f>
        <v>654374</v>
      </c>
      <c r="K14" s="68"/>
      <c r="L14" s="68"/>
      <c r="M14" s="68"/>
      <c r="N14" s="68"/>
      <c r="O14" s="68"/>
      <c r="P14" s="68"/>
      <c r="Q14" s="68"/>
      <c r="R14" s="68">
        <v>1204</v>
      </c>
      <c r="S14" s="68"/>
      <c r="T14" s="68"/>
      <c r="U14" s="68"/>
      <c r="V14" s="68"/>
      <c r="W14" s="68"/>
      <c r="X14" s="68"/>
      <c r="Y14" s="68"/>
      <c r="Z14" s="68"/>
      <c r="AA14" s="68"/>
      <c r="AB14" s="69">
        <f t="shared" si="1"/>
        <v>655578</v>
      </c>
    </row>
    <row r="15" spans="2:28" ht="15.75" x14ac:dyDescent="0.25">
      <c r="B15" s="65">
        <v>52</v>
      </c>
      <c r="C15" s="66">
        <v>101019</v>
      </c>
      <c r="D15" s="67" t="s">
        <v>51</v>
      </c>
      <c r="E15" s="68">
        <v>4174276</v>
      </c>
      <c r="F15" s="63">
        <f t="shared" si="0"/>
        <v>36300</v>
      </c>
      <c r="G15" s="104">
        <v>21780</v>
      </c>
      <c r="H15" s="68"/>
      <c r="I15" s="68"/>
      <c r="J15" s="68"/>
      <c r="K15" s="68"/>
      <c r="L15" s="68"/>
      <c r="M15" s="68"/>
      <c r="N15" s="68"/>
      <c r="O15" s="68"/>
      <c r="P15" s="68"/>
      <c r="Q15" s="68">
        <v>14520</v>
      </c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9">
        <f>F15-AA15</f>
        <v>36300</v>
      </c>
    </row>
    <row r="16" spans="2:28" ht="31.5" x14ac:dyDescent="0.25">
      <c r="B16" s="60">
        <v>52</v>
      </c>
      <c r="C16" s="61">
        <v>101141</v>
      </c>
      <c r="D16" s="62" t="s">
        <v>52</v>
      </c>
      <c r="E16" s="63">
        <v>5837078.4000000004</v>
      </c>
      <c r="F16" s="63">
        <f t="shared" si="0"/>
        <v>4425026.3199999994</v>
      </c>
      <c r="G16" s="63"/>
      <c r="H16" s="63"/>
      <c r="I16" s="63">
        <f>3840+1728282.44</f>
        <v>1732122.44</v>
      </c>
      <c r="J16" s="63">
        <f>3840+1685476.96+168136.57</f>
        <v>1857453.53</v>
      </c>
      <c r="K16" s="63"/>
      <c r="L16" s="63">
        <f>5760+800650.35</f>
        <v>806410.35</v>
      </c>
      <c r="M16" s="63">
        <v>17424</v>
      </c>
      <c r="N16" s="63"/>
      <c r="O16" s="63"/>
      <c r="P16" s="63"/>
      <c r="Q16" s="63">
        <v>11616</v>
      </c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9">
        <f t="shared" ref="AB16:AB18" si="2">F16-AA16</f>
        <v>4425026.3199999994</v>
      </c>
    </row>
    <row r="17" spans="2:28" ht="31.5" x14ac:dyDescent="0.25">
      <c r="B17" s="60">
        <v>52</v>
      </c>
      <c r="C17" s="61">
        <v>101257</v>
      </c>
      <c r="D17" s="62" t="s">
        <v>54</v>
      </c>
      <c r="E17" s="63">
        <v>677938.8</v>
      </c>
      <c r="F17" s="63">
        <f t="shared" si="0"/>
        <v>7709.8</v>
      </c>
      <c r="G17" s="63"/>
      <c r="H17" s="63"/>
      <c r="I17" s="63"/>
      <c r="J17" s="63">
        <v>4625.6000000000004</v>
      </c>
      <c r="K17" s="63"/>
      <c r="L17" s="63"/>
      <c r="M17" s="63"/>
      <c r="N17" s="63"/>
      <c r="O17" s="63"/>
      <c r="P17" s="63"/>
      <c r="Q17" s="63">
        <v>3084.2</v>
      </c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9">
        <f t="shared" si="2"/>
        <v>7709.8</v>
      </c>
    </row>
    <row r="18" spans="2:28" ht="31.5" x14ac:dyDescent="0.25">
      <c r="B18" s="60">
        <v>52</v>
      </c>
      <c r="C18" s="61">
        <v>101088</v>
      </c>
      <c r="D18" s="62" t="s">
        <v>53</v>
      </c>
      <c r="E18" s="63">
        <v>1881943.2</v>
      </c>
      <c r="F18" s="63">
        <f t="shared" si="0"/>
        <v>496125.89999999997</v>
      </c>
      <c r="G18" s="63"/>
      <c r="H18" s="63">
        <v>471491.5</v>
      </c>
      <c r="I18" s="63"/>
      <c r="J18" s="63">
        <v>14780.8</v>
      </c>
      <c r="K18" s="63"/>
      <c r="L18" s="63"/>
      <c r="M18" s="63"/>
      <c r="N18" s="63"/>
      <c r="O18" s="63"/>
      <c r="P18" s="63"/>
      <c r="Q18" s="63">
        <v>9853.6</v>
      </c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9">
        <f t="shared" si="2"/>
        <v>496125.89999999997</v>
      </c>
    </row>
    <row r="19" spans="2:28" ht="31.5" x14ac:dyDescent="0.25">
      <c r="B19" s="65">
        <v>19</v>
      </c>
      <c r="C19" s="66">
        <v>1128</v>
      </c>
      <c r="D19" s="67" t="s">
        <v>106</v>
      </c>
      <c r="E19" s="68">
        <v>2367129.3199999998</v>
      </c>
      <c r="F19" s="63">
        <f t="shared" si="0"/>
        <v>1065402</v>
      </c>
      <c r="G19" s="104">
        <v>1045800</v>
      </c>
      <c r="H19" s="68"/>
      <c r="I19" s="68"/>
      <c r="J19" s="68"/>
      <c r="K19" s="68"/>
      <c r="L19" s="68"/>
      <c r="M19" s="68"/>
      <c r="N19" s="68"/>
      <c r="O19" s="68"/>
      <c r="P19" s="68"/>
      <c r="Q19" s="68">
        <v>19602</v>
      </c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9">
        <f>F19-AA19</f>
        <v>1065402</v>
      </c>
    </row>
    <row r="20" spans="2:28" ht="31.5" x14ac:dyDescent="0.25">
      <c r="B20" s="60">
        <v>52</v>
      </c>
      <c r="C20" s="61">
        <v>101022</v>
      </c>
      <c r="D20" s="62" t="s">
        <v>59</v>
      </c>
      <c r="E20" s="63">
        <v>8717805.1999999993</v>
      </c>
      <c r="F20" s="63">
        <f t="shared" si="0"/>
        <v>25578.43</v>
      </c>
      <c r="G20" s="104"/>
      <c r="H20" s="68"/>
      <c r="I20" s="68"/>
      <c r="J20" s="68"/>
      <c r="K20" s="68">
        <v>15347.06</v>
      </c>
      <c r="L20" s="68"/>
      <c r="M20" s="68"/>
      <c r="N20" s="68"/>
      <c r="O20" s="63">
        <v>10231.370000000001</v>
      </c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9">
        <f t="shared" ref="AB20:AB33" si="3">F20-AA20</f>
        <v>25578.43</v>
      </c>
    </row>
    <row r="21" spans="2:28" ht="31.5" x14ac:dyDescent="0.25">
      <c r="B21" s="65">
        <v>52</v>
      </c>
      <c r="C21" s="66">
        <v>101253</v>
      </c>
      <c r="D21" s="67" t="s">
        <v>60</v>
      </c>
      <c r="E21" s="68">
        <v>7376897.5</v>
      </c>
      <c r="F21" s="63">
        <f t="shared" si="0"/>
        <v>12752.43</v>
      </c>
      <c r="G21" s="104"/>
      <c r="H21" s="68"/>
      <c r="I21" s="68"/>
      <c r="J21" s="68"/>
      <c r="K21" s="68">
        <v>7651.46</v>
      </c>
      <c r="L21" s="68"/>
      <c r="M21" s="68"/>
      <c r="N21" s="68"/>
      <c r="O21" s="68">
        <v>5100.97</v>
      </c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9">
        <f t="shared" si="3"/>
        <v>12752.43</v>
      </c>
    </row>
    <row r="22" spans="2:28" ht="31.5" x14ac:dyDescent="0.25">
      <c r="B22" s="60">
        <v>19</v>
      </c>
      <c r="C22" s="61">
        <v>1216</v>
      </c>
      <c r="D22" s="62" t="s">
        <v>61</v>
      </c>
      <c r="E22" s="63">
        <v>3207794.19</v>
      </c>
      <c r="F22" s="63">
        <f t="shared" si="0"/>
        <v>1930167.9</v>
      </c>
      <c r="G22" s="63">
        <f>196510.5+1722767.4</f>
        <v>1919277.9</v>
      </c>
      <c r="H22" s="63"/>
      <c r="I22" s="63"/>
      <c r="J22" s="63"/>
      <c r="K22" s="63"/>
      <c r="L22" s="63"/>
      <c r="M22" s="63"/>
      <c r="N22" s="63"/>
      <c r="O22" s="63">
        <v>10890</v>
      </c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4">
        <f t="shared" si="3"/>
        <v>1930167.9</v>
      </c>
    </row>
    <row r="23" spans="2:28" ht="15.75" x14ac:dyDescent="0.25">
      <c r="B23" s="65">
        <v>59</v>
      </c>
      <c r="C23" s="66">
        <v>101135</v>
      </c>
      <c r="D23" s="67" t="s">
        <v>62</v>
      </c>
      <c r="E23" s="68">
        <v>25154862.300000001</v>
      </c>
      <c r="F23" s="63">
        <f>SUM(G23:Z23)</f>
        <v>1742400</v>
      </c>
      <c r="G23" s="104"/>
      <c r="H23" s="68"/>
      <c r="I23" s="68"/>
      <c r="J23" s="68"/>
      <c r="K23" s="68"/>
      <c r="L23" s="68"/>
      <c r="M23" s="68"/>
      <c r="N23" s="68"/>
      <c r="O23" s="68">
        <f>96800+1645600</f>
        <v>1742400</v>
      </c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>
        <v>1742400</v>
      </c>
      <c r="AB23" s="69">
        <f t="shared" si="3"/>
        <v>0</v>
      </c>
    </row>
    <row r="24" spans="2:28" ht="15.75" x14ac:dyDescent="0.25">
      <c r="B24" s="60">
        <v>52</v>
      </c>
      <c r="C24" s="61">
        <v>101139</v>
      </c>
      <c r="D24" s="62" t="s">
        <v>63</v>
      </c>
      <c r="E24" s="63">
        <v>9166485.5999999996</v>
      </c>
      <c r="F24" s="63">
        <f t="shared" si="0"/>
        <v>2273093.6199999996</v>
      </c>
      <c r="G24" s="63"/>
      <c r="H24" s="63"/>
      <c r="I24" s="63"/>
      <c r="J24" s="63"/>
      <c r="K24" s="63">
        <v>701231.24</v>
      </c>
      <c r="L24" s="63">
        <v>1091457.3899999999</v>
      </c>
      <c r="M24" s="63">
        <v>5092.2</v>
      </c>
      <c r="N24" s="63">
        <v>427798.52</v>
      </c>
      <c r="O24" s="63">
        <f>44874.59+2639.68</f>
        <v>47514.27</v>
      </c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4">
        <f t="shared" si="3"/>
        <v>2273093.6199999996</v>
      </c>
    </row>
    <row r="25" spans="2:28" ht="31.5" x14ac:dyDescent="0.25">
      <c r="B25" s="65">
        <v>52</v>
      </c>
      <c r="C25" s="66">
        <v>101152</v>
      </c>
      <c r="D25" s="67" t="s">
        <v>64</v>
      </c>
      <c r="E25" s="68">
        <v>22320370.449999999</v>
      </c>
      <c r="F25" s="63">
        <f t="shared" si="0"/>
        <v>6882320.0600000005</v>
      </c>
      <c r="G25" s="104"/>
      <c r="H25" s="68">
        <v>20691</v>
      </c>
      <c r="I25" s="68">
        <v>940322.64</v>
      </c>
      <c r="J25" s="68">
        <f>20691+1446397.62</f>
        <v>1467088.62</v>
      </c>
      <c r="K25" s="68">
        <v>20691</v>
      </c>
      <c r="L25" s="68">
        <v>1089444.99</v>
      </c>
      <c r="M25" s="68">
        <v>4602.6000000000004</v>
      </c>
      <c r="N25" s="68">
        <f>31581+2740306.31</f>
        <v>2771887.31</v>
      </c>
      <c r="O25" s="68">
        <v>567591.9</v>
      </c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9">
        <f t="shared" si="3"/>
        <v>6882320.0600000005</v>
      </c>
    </row>
    <row r="26" spans="2:28" ht="31.5" x14ac:dyDescent="0.25">
      <c r="B26" s="65">
        <v>52</v>
      </c>
      <c r="C26" s="66">
        <v>101251</v>
      </c>
      <c r="D26" s="67" t="s">
        <v>65</v>
      </c>
      <c r="E26" s="68">
        <v>8148556.5</v>
      </c>
      <c r="F26" s="63">
        <f t="shared" si="0"/>
        <v>15029</v>
      </c>
      <c r="G26" s="104"/>
      <c r="H26" s="68">
        <v>8349.6</v>
      </c>
      <c r="I26" s="68"/>
      <c r="J26" s="68"/>
      <c r="K26" s="68"/>
      <c r="L26" s="68"/>
      <c r="M26" s="68"/>
      <c r="N26" s="68"/>
      <c r="O26" s="68">
        <v>6679.4</v>
      </c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9">
        <f t="shared" si="3"/>
        <v>15029</v>
      </c>
    </row>
    <row r="27" spans="2:28" ht="31.5" x14ac:dyDescent="0.25">
      <c r="B27" s="65">
        <v>52</v>
      </c>
      <c r="C27" s="66">
        <v>101113</v>
      </c>
      <c r="D27" s="67" t="s">
        <v>66</v>
      </c>
      <c r="E27" s="68">
        <v>7222500.7999999998</v>
      </c>
      <c r="F27" s="63">
        <f t="shared" si="0"/>
        <v>17548</v>
      </c>
      <c r="G27" s="104"/>
      <c r="H27" s="68">
        <v>9748.7999999999993</v>
      </c>
      <c r="I27" s="68"/>
      <c r="J27" s="68"/>
      <c r="K27" s="68"/>
      <c r="L27" s="68"/>
      <c r="M27" s="68"/>
      <c r="N27" s="68"/>
      <c r="O27" s="68">
        <v>7799.2</v>
      </c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9">
        <f t="shared" si="3"/>
        <v>17548</v>
      </c>
    </row>
    <row r="28" spans="2:28" ht="32.25" thickBot="1" x14ac:dyDescent="0.3">
      <c r="B28" s="70">
        <v>52</v>
      </c>
      <c r="C28" s="71">
        <v>101255</v>
      </c>
      <c r="D28" s="72" t="s">
        <v>67</v>
      </c>
      <c r="E28" s="73">
        <v>8159082.4000000004</v>
      </c>
      <c r="F28" s="73">
        <f>SUM(G28:Z28)</f>
        <v>15303.400000000001</v>
      </c>
      <c r="G28" s="73"/>
      <c r="H28" s="73">
        <v>8502.2000000000007</v>
      </c>
      <c r="I28" s="73"/>
      <c r="J28" s="73"/>
      <c r="K28" s="73"/>
      <c r="L28" s="73"/>
      <c r="M28" s="73"/>
      <c r="N28" s="73"/>
      <c r="O28" s="73">
        <v>6801.2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4">
        <f t="shared" si="3"/>
        <v>15303.400000000001</v>
      </c>
    </row>
    <row r="29" spans="2:28" ht="32.25" thickTop="1" x14ac:dyDescent="0.25">
      <c r="B29" s="75">
        <v>52</v>
      </c>
      <c r="C29" s="76">
        <v>101130</v>
      </c>
      <c r="D29" s="77" t="s">
        <v>68</v>
      </c>
      <c r="E29" s="78">
        <v>9140694.5</v>
      </c>
      <c r="F29" s="80">
        <f>SUM(G29:Z29)</f>
        <v>21739</v>
      </c>
      <c r="G29" s="78"/>
      <c r="H29" s="78">
        <v>12077</v>
      </c>
      <c r="I29" s="78"/>
      <c r="J29" s="78"/>
      <c r="K29" s="78"/>
      <c r="L29" s="78"/>
      <c r="M29" s="78"/>
      <c r="N29" s="78"/>
      <c r="O29" s="78">
        <v>9662</v>
      </c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9">
        <f t="shared" si="3"/>
        <v>21739</v>
      </c>
    </row>
    <row r="30" spans="2:28" ht="15.75" x14ac:dyDescent="0.25">
      <c r="B30" s="65">
        <v>12</v>
      </c>
      <c r="C30" s="66">
        <v>1600</v>
      </c>
      <c r="D30" s="67" t="s">
        <v>69</v>
      </c>
      <c r="E30" s="68">
        <v>148836202.09999999</v>
      </c>
      <c r="F30" s="63">
        <f>SUM(G30:Z30)</f>
        <v>35403642.129999995</v>
      </c>
      <c r="G30" s="104"/>
      <c r="H30" s="68"/>
      <c r="I30" s="68"/>
      <c r="J30" s="68"/>
      <c r="K30" s="68"/>
      <c r="L30" s="68"/>
      <c r="M30" s="68">
        <f>44745.3+17404837.93+9855.9</f>
        <v>17459439.129999999</v>
      </c>
      <c r="N30" s="68"/>
      <c r="O30" s="68">
        <v>17944203</v>
      </c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9">
        <f t="shared" si="3"/>
        <v>35403642.129999995</v>
      </c>
    </row>
    <row r="31" spans="2:28" ht="31.5" x14ac:dyDescent="0.25">
      <c r="B31" s="65">
        <v>19</v>
      </c>
      <c r="C31" s="66">
        <v>1204</v>
      </c>
      <c r="D31" s="67" t="s">
        <v>89</v>
      </c>
      <c r="E31" s="68">
        <v>1814555.22</v>
      </c>
      <c r="F31" s="63">
        <f t="shared" ref="F31:F38" si="4">SUM(G31:Z31)</f>
        <v>1726955.35</v>
      </c>
      <c r="G31" s="104"/>
      <c r="H31" s="68"/>
      <c r="I31" s="68"/>
      <c r="J31" s="68"/>
      <c r="K31" s="68">
        <v>4793.2299999999996</v>
      </c>
      <c r="L31" s="68"/>
      <c r="M31" s="68"/>
      <c r="N31" s="68">
        <f>1502273.87</f>
        <v>1502273.87</v>
      </c>
      <c r="O31" s="68">
        <v>219888.25</v>
      </c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>
        <v>1726955.35</v>
      </c>
      <c r="AB31" s="69">
        <f t="shared" si="3"/>
        <v>0</v>
      </c>
    </row>
    <row r="32" spans="2:28" ht="15.75" x14ac:dyDescent="0.25">
      <c r="B32" s="65">
        <v>50</v>
      </c>
      <c r="C32" s="66">
        <v>100920</v>
      </c>
      <c r="D32" s="67" t="s">
        <v>70</v>
      </c>
      <c r="E32" s="68">
        <v>80176109.400000006</v>
      </c>
      <c r="F32" s="63">
        <f t="shared" si="4"/>
        <v>9691150.4199999999</v>
      </c>
      <c r="G32" s="104"/>
      <c r="H32" s="68">
        <f>9531720.82+21954.24+11325.6+39029.76</f>
        <v>9604030.4199999999</v>
      </c>
      <c r="I32" s="68"/>
      <c r="J32" s="68"/>
      <c r="K32" s="68"/>
      <c r="L32" s="68">
        <v>52272</v>
      </c>
      <c r="M32" s="68"/>
      <c r="N32" s="68"/>
      <c r="O32" s="68">
        <v>34848</v>
      </c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9">
        <f t="shared" si="3"/>
        <v>9691150.4199999999</v>
      </c>
    </row>
    <row r="33" spans="2:28" ht="63" x14ac:dyDescent="0.25">
      <c r="B33" s="65">
        <v>59</v>
      </c>
      <c r="C33" s="66">
        <v>101157</v>
      </c>
      <c r="D33" s="67" t="s">
        <v>74</v>
      </c>
      <c r="E33" s="68">
        <v>16521356.92</v>
      </c>
      <c r="F33" s="63">
        <f t="shared" si="4"/>
        <v>2019825.2999999998</v>
      </c>
      <c r="G33" s="104"/>
      <c r="H33" s="68"/>
      <c r="I33" s="68">
        <f>245922.85+14466.05+1269112.05+74653.65+19582.6+1151.9</f>
        <v>1624889.0999999999</v>
      </c>
      <c r="J33" s="68"/>
      <c r="K33" s="68"/>
      <c r="L33" s="68">
        <f>256535.95+15090.35</f>
        <v>271626.3</v>
      </c>
      <c r="M33" s="68"/>
      <c r="N33" s="68">
        <f>116459.35+6850.55</f>
        <v>123309.90000000001</v>
      </c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9">
        <f t="shared" si="3"/>
        <v>2019825.2999999998</v>
      </c>
    </row>
    <row r="34" spans="2:28" ht="31.5" x14ac:dyDescent="0.25">
      <c r="B34" s="65">
        <v>19</v>
      </c>
      <c r="C34" s="66">
        <v>1208</v>
      </c>
      <c r="D34" s="67" t="s">
        <v>72</v>
      </c>
      <c r="E34" s="68">
        <v>2790000</v>
      </c>
      <c r="F34" s="63">
        <f t="shared" si="4"/>
        <v>1847220.23</v>
      </c>
      <c r="G34" s="104"/>
      <c r="H34" s="68"/>
      <c r="I34" s="68"/>
      <c r="J34" s="68"/>
      <c r="K34" s="68"/>
      <c r="L34" s="68">
        <v>1482639.27</v>
      </c>
      <c r="M34" s="68"/>
      <c r="N34" s="68">
        <v>364580.96</v>
      </c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9">
        <f>F34-AA34</f>
        <v>1847220.23</v>
      </c>
    </row>
    <row r="35" spans="2:28" ht="15.75" x14ac:dyDescent="0.25">
      <c r="B35" s="60">
        <v>12</v>
      </c>
      <c r="C35" s="61">
        <v>1600</v>
      </c>
      <c r="D35" s="62" t="s">
        <v>75</v>
      </c>
      <c r="E35" s="63">
        <v>32403507.600000001</v>
      </c>
      <c r="F35" s="63">
        <f t="shared" si="4"/>
        <v>1776558.39</v>
      </c>
      <c r="G35" s="63"/>
      <c r="H35" s="63"/>
      <c r="I35" s="63"/>
      <c r="J35" s="63"/>
      <c r="K35" s="63"/>
      <c r="L35" s="63">
        <v>14033.92</v>
      </c>
      <c r="M35" s="63">
        <v>1762524.47</v>
      </c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4">
        <f>F35-AA35</f>
        <v>1776558.39</v>
      </c>
    </row>
    <row r="36" spans="2:28" ht="31.5" x14ac:dyDescent="0.25">
      <c r="B36" s="60">
        <v>19</v>
      </c>
      <c r="C36" s="61">
        <v>1106</v>
      </c>
      <c r="D36" s="62" t="s">
        <v>76</v>
      </c>
      <c r="E36" s="63">
        <v>4107684.97</v>
      </c>
      <c r="F36" s="63">
        <f t="shared" si="4"/>
        <v>821711.7</v>
      </c>
      <c r="G36" s="63">
        <v>10890</v>
      </c>
      <c r="H36" s="63"/>
      <c r="I36" s="63">
        <v>412731</v>
      </c>
      <c r="J36" s="63">
        <v>387200.7</v>
      </c>
      <c r="K36" s="63"/>
      <c r="L36" s="63"/>
      <c r="M36" s="63">
        <v>10890</v>
      </c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4">
        <f t="shared" ref="AB36:AB46" si="5">F36-AA36</f>
        <v>821711.7</v>
      </c>
    </row>
    <row r="37" spans="2:28" ht="47.25" x14ac:dyDescent="0.25">
      <c r="B37" s="65">
        <v>19</v>
      </c>
      <c r="C37" s="66">
        <v>1205</v>
      </c>
      <c r="D37" s="67" t="s">
        <v>77</v>
      </c>
      <c r="E37" s="68">
        <v>3356943.54</v>
      </c>
      <c r="F37" s="63">
        <f t="shared" si="4"/>
        <v>553134.6</v>
      </c>
      <c r="G37" s="104">
        <v>114300</v>
      </c>
      <c r="H37" s="68"/>
      <c r="I37" s="68">
        <v>27225</v>
      </c>
      <c r="J37" s="68"/>
      <c r="K37" s="68"/>
      <c r="L37" s="68"/>
      <c r="M37" s="68">
        <v>411609.59999999998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9">
        <f t="shared" si="5"/>
        <v>553134.6</v>
      </c>
    </row>
    <row r="38" spans="2:28" ht="31.5" x14ac:dyDescent="0.25">
      <c r="B38" s="65">
        <v>59</v>
      </c>
      <c r="C38" s="66">
        <v>101156</v>
      </c>
      <c r="D38" s="67" t="s">
        <v>80</v>
      </c>
      <c r="E38" s="68">
        <v>12895764.300000001</v>
      </c>
      <c r="F38" s="63">
        <f t="shared" si="4"/>
        <v>2795882.4</v>
      </c>
      <c r="G38" s="104"/>
      <c r="H38" s="68">
        <f>112679.2+1915546.4+4385+74545</f>
        <v>2107155.5999999996</v>
      </c>
      <c r="I38" s="68">
        <f>1197.9+20364.3</f>
        <v>21562.2</v>
      </c>
      <c r="J38" s="68"/>
      <c r="K38" s="68">
        <v>283959</v>
      </c>
      <c r="L38" s="68">
        <v>383205.6</v>
      </c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9">
        <f t="shared" si="5"/>
        <v>2795882.4</v>
      </c>
    </row>
    <row r="39" spans="2:28" ht="31.5" x14ac:dyDescent="0.25">
      <c r="B39" s="65">
        <v>19</v>
      </c>
      <c r="C39" s="66">
        <v>1142</v>
      </c>
      <c r="D39" s="67" t="s">
        <v>81</v>
      </c>
      <c r="E39" s="68">
        <v>4365000</v>
      </c>
      <c r="F39" s="63">
        <f>SUM(G39:Z39)</f>
        <v>804091.5</v>
      </c>
      <c r="G39" s="104">
        <v>432432.9</v>
      </c>
      <c r="H39" s="68"/>
      <c r="I39" s="68"/>
      <c r="J39" s="68"/>
      <c r="K39" s="68"/>
      <c r="L39" s="68">
        <v>371658.6</v>
      </c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9">
        <f t="shared" si="5"/>
        <v>804091.5</v>
      </c>
    </row>
    <row r="40" spans="2:28" ht="24.95" customHeight="1" x14ac:dyDescent="0.25">
      <c r="B40" s="109">
        <v>52</v>
      </c>
      <c r="C40" s="66">
        <v>101050</v>
      </c>
      <c r="D40" s="107" t="s">
        <v>82</v>
      </c>
      <c r="E40" s="111">
        <v>6250335.1500000004</v>
      </c>
      <c r="F40" s="111">
        <f>SUM(G41:Z41)+SUM(G40:Z40)</f>
        <v>3284294.4</v>
      </c>
      <c r="G40" s="63">
        <v>15488</v>
      </c>
      <c r="H40" s="68">
        <f>3280+1017982.4+444381.6</f>
        <v>1465644</v>
      </c>
      <c r="I40" s="68"/>
      <c r="J40" s="68">
        <f>1235620+7200</f>
        <v>1242820</v>
      </c>
      <c r="K40" s="68"/>
      <c r="L40" s="68">
        <f>544272.4+7200</f>
        <v>551472.4</v>
      </c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115"/>
      <c r="AB40" s="113">
        <f>F40-AA40-AA41</f>
        <v>3284294.4</v>
      </c>
    </row>
    <row r="41" spans="2:28" ht="24.95" customHeight="1" x14ac:dyDescent="0.25">
      <c r="B41" s="110"/>
      <c r="C41" s="99">
        <v>100700</v>
      </c>
      <c r="D41" s="108"/>
      <c r="E41" s="112"/>
      <c r="F41" s="112"/>
      <c r="G41" s="104">
        <v>6050</v>
      </c>
      <c r="H41" s="98">
        <v>2820</v>
      </c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116"/>
      <c r="AB41" s="114"/>
    </row>
    <row r="42" spans="2:28" ht="15.75" x14ac:dyDescent="0.25">
      <c r="B42" s="65">
        <v>19</v>
      </c>
      <c r="C42" s="66">
        <v>1136</v>
      </c>
      <c r="D42" s="67" t="s">
        <v>83</v>
      </c>
      <c r="E42" s="68">
        <v>3135292.13</v>
      </c>
      <c r="F42" s="63">
        <f>SUM(G42:Z42)</f>
        <v>558449.28</v>
      </c>
      <c r="G42" s="104">
        <v>485370</v>
      </c>
      <c r="H42" s="68"/>
      <c r="I42" s="68"/>
      <c r="J42" s="68"/>
      <c r="K42" s="68">
        <v>10890</v>
      </c>
      <c r="L42" s="68">
        <v>62189.279999999999</v>
      </c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9">
        <f t="shared" si="5"/>
        <v>558449.28</v>
      </c>
    </row>
    <row r="43" spans="2:28" ht="15.75" x14ac:dyDescent="0.25">
      <c r="B43" s="65">
        <v>19</v>
      </c>
      <c r="C43" s="66">
        <v>1108</v>
      </c>
      <c r="D43" s="67" t="s">
        <v>84</v>
      </c>
      <c r="E43" s="68">
        <v>4005925.58</v>
      </c>
      <c r="F43" s="63">
        <f t="shared" ref="F43:F50" si="6">SUM(G43:Z43)</f>
        <v>678648.17</v>
      </c>
      <c r="G43" s="104">
        <f>569533.01+10890</f>
        <v>580423.01</v>
      </c>
      <c r="H43" s="68"/>
      <c r="I43" s="68"/>
      <c r="J43" s="68">
        <v>87335.16</v>
      </c>
      <c r="K43" s="68"/>
      <c r="L43" s="68">
        <v>10890</v>
      </c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9">
        <f t="shared" si="5"/>
        <v>678648.17</v>
      </c>
    </row>
    <row r="44" spans="2:28" ht="31.5" x14ac:dyDescent="0.25">
      <c r="B44" s="65">
        <v>59</v>
      </c>
      <c r="C44" s="66">
        <v>101154</v>
      </c>
      <c r="D44" s="67" t="s">
        <v>86</v>
      </c>
      <c r="E44" s="68">
        <v>10434308.4</v>
      </c>
      <c r="F44" s="63">
        <f t="shared" si="6"/>
        <v>1742.3999999999999</v>
      </c>
      <c r="G44" s="104"/>
      <c r="H44" s="68"/>
      <c r="I44" s="68"/>
      <c r="J44" s="68">
        <f>822.8+48.4</f>
        <v>871.19999999999993</v>
      </c>
      <c r="K44" s="68">
        <f>822.8+48.4</f>
        <v>871.19999999999993</v>
      </c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9">
        <f t="shared" si="5"/>
        <v>1742.3999999999999</v>
      </c>
    </row>
    <row r="45" spans="2:28" ht="31.5" x14ac:dyDescent="0.25">
      <c r="B45" s="65">
        <v>19</v>
      </c>
      <c r="C45" s="66">
        <v>1112</v>
      </c>
      <c r="D45" s="67" t="s">
        <v>87</v>
      </c>
      <c r="E45" s="68">
        <v>3558912.48</v>
      </c>
      <c r="F45" s="63">
        <f t="shared" si="6"/>
        <v>1344014.1</v>
      </c>
      <c r="G45" s="104">
        <v>635540.4</v>
      </c>
      <c r="H45" s="68"/>
      <c r="I45" s="68">
        <v>686693.7</v>
      </c>
      <c r="J45" s="68"/>
      <c r="K45" s="68">
        <v>21780</v>
      </c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9">
        <f t="shared" si="5"/>
        <v>1344014.1</v>
      </c>
    </row>
    <row r="46" spans="2:28" ht="15.75" x14ac:dyDescent="0.25">
      <c r="B46" s="65">
        <v>19</v>
      </c>
      <c r="C46" s="66">
        <v>1208</v>
      </c>
      <c r="D46" s="67" t="s">
        <v>88</v>
      </c>
      <c r="E46" s="68">
        <v>2784542.4</v>
      </c>
      <c r="F46" s="63">
        <f t="shared" si="6"/>
        <v>2645616.6</v>
      </c>
      <c r="G46" s="104"/>
      <c r="H46" s="68"/>
      <c r="I46" s="68"/>
      <c r="J46" s="68">
        <v>1007216.1</v>
      </c>
      <c r="K46" s="68">
        <v>1638400.5</v>
      </c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9">
        <f t="shared" si="5"/>
        <v>2645616.6</v>
      </c>
    </row>
    <row r="47" spans="2:28" ht="31.5" x14ac:dyDescent="0.25">
      <c r="B47" s="65">
        <v>52</v>
      </c>
      <c r="C47" s="66">
        <v>101144</v>
      </c>
      <c r="D47" s="67" t="s">
        <v>91</v>
      </c>
      <c r="E47" s="68">
        <v>7931955.2999999998</v>
      </c>
      <c r="F47" s="63">
        <f t="shared" si="6"/>
        <v>507709.22</v>
      </c>
      <c r="G47" s="104"/>
      <c r="H47" s="68"/>
      <c r="I47" s="68">
        <v>290705.71999999997</v>
      </c>
      <c r="J47" s="68">
        <v>217003.5</v>
      </c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9">
        <f t="shared" ref="AB47:AB55" si="7">F47-AA47</f>
        <v>507709.22</v>
      </c>
    </row>
    <row r="48" spans="2:28" ht="47.25" x14ac:dyDescent="0.25">
      <c r="B48" s="65">
        <v>19</v>
      </c>
      <c r="C48" s="66">
        <v>1133</v>
      </c>
      <c r="D48" s="67" t="s">
        <v>92</v>
      </c>
      <c r="E48" s="68">
        <v>4231605.5999999996</v>
      </c>
      <c r="F48" s="63">
        <f t="shared" si="6"/>
        <v>930922.2</v>
      </c>
      <c r="G48" s="104"/>
      <c r="H48" s="68"/>
      <c r="I48" s="68"/>
      <c r="J48" s="68">
        <v>930922.2</v>
      </c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9">
        <f t="shared" si="7"/>
        <v>930922.2</v>
      </c>
    </row>
    <row r="49" spans="2:28" ht="31.5" x14ac:dyDescent="0.25">
      <c r="B49" s="91">
        <v>19</v>
      </c>
      <c r="C49" s="66">
        <v>1700</v>
      </c>
      <c r="D49" s="67" t="s">
        <v>93</v>
      </c>
      <c r="E49" s="92">
        <v>4497134.4000000004</v>
      </c>
      <c r="F49" s="63">
        <f t="shared" si="6"/>
        <v>486178.56</v>
      </c>
      <c r="G49" s="104"/>
      <c r="H49" s="92"/>
      <c r="I49" s="92"/>
      <c r="J49" s="92">
        <v>486178.56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>
        <f t="shared" si="7"/>
        <v>486178.56</v>
      </c>
    </row>
    <row r="50" spans="2:28" ht="15.75" x14ac:dyDescent="0.25">
      <c r="B50" s="60">
        <v>59</v>
      </c>
      <c r="C50" s="61">
        <v>101160</v>
      </c>
      <c r="D50" s="62" t="s">
        <v>94</v>
      </c>
      <c r="E50" s="63">
        <v>19530000</v>
      </c>
      <c r="F50" s="63">
        <f t="shared" si="6"/>
        <v>4758930</v>
      </c>
      <c r="G50" s="63"/>
      <c r="H50" s="63"/>
      <c r="I50" s="63"/>
      <c r="J50" s="63">
        <f>90145+1532465+174240+2962080</f>
        <v>4758930</v>
      </c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>
        <f t="shared" si="7"/>
        <v>4758930</v>
      </c>
    </row>
    <row r="51" spans="2:28" ht="32.25" thickBot="1" x14ac:dyDescent="0.3">
      <c r="B51" s="70">
        <v>52</v>
      </c>
      <c r="C51" s="71">
        <v>101155</v>
      </c>
      <c r="D51" s="72" t="s">
        <v>101</v>
      </c>
      <c r="E51" s="73">
        <v>6148995.4800000004</v>
      </c>
      <c r="F51" s="73">
        <f t="shared" ref="F51:F57" si="8">SUM(G51:Z51)</f>
        <v>1471162.5</v>
      </c>
      <c r="G51" s="73"/>
      <c r="H51" s="73">
        <v>1249387.2</v>
      </c>
      <c r="I51" s="73">
        <v>221775.3</v>
      </c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>
        <f t="shared" si="7"/>
        <v>1471162.5</v>
      </c>
    </row>
    <row r="52" spans="2:28" ht="32.25" thickTop="1" x14ac:dyDescent="0.25">
      <c r="B52" s="90">
        <v>59</v>
      </c>
      <c r="C52" s="86">
        <v>101124</v>
      </c>
      <c r="D52" s="87" t="s">
        <v>95</v>
      </c>
      <c r="E52" s="88">
        <v>23936400</v>
      </c>
      <c r="F52" s="88">
        <f t="shared" si="8"/>
        <v>3594215.54</v>
      </c>
      <c r="G52" s="88"/>
      <c r="H52" s="88">
        <f>2895199.96+170305.88</f>
        <v>3065505.84</v>
      </c>
      <c r="I52" s="88">
        <f>499337+29372.7</f>
        <v>528709.69999999995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>
        <f t="shared" si="7"/>
        <v>3594215.54</v>
      </c>
    </row>
    <row r="53" spans="2:28" ht="31.5" x14ac:dyDescent="0.25">
      <c r="B53" s="60">
        <v>52</v>
      </c>
      <c r="C53" s="61">
        <v>101018</v>
      </c>
      <c r="D53" s="62" t="s">
        <v>96</v>
      </c>
      <c r="E53" s="63">
        <v>2069560</v>
      </c>
      <c r="F53" s="63">
        <f t="shared" si="8"/>
        <v>890069.75</v>
      </c>
      <c r="G53" s="63"/>
      <c r="H53" s="63">
        <v>877969.75</v>
      </c>
      <c r="I53" s="63">
        <v>12100</v>
      </c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4">
        <f t="shared" si="7"/>
        <v>890069.75</v>
      </c>
    </row>
    <row r="54" spans="2:28" ht="47.25" x14ac:dyDescent="0.25">
      <c r="B54" s="60">
        <v>52</v>
      </c>
      <c r="C54" s="61">
        <v>101151</v>
      </c>
      <c r="D54" s="62" t="s">
        <v>100</v>
      </c>
      <c r="E54" s="63">
        <v>8811260.8399999999</v>
      </c>
      <c r="F54" s="63">
        <f t="shared" si="8"/>
        <v>884627.36</v>
      </c>
      <c r="G54" s="63">
        <v>863375.53</v>
      </c>
      <c r="H54" s="63"/>
      <c r="I54" s="63">
        <v>21251.83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4">
        <f t="shared" si="7"/>
        <v>884627.36</v>
      </c>
    </row>
    <row r="55" spans="2:28" ht="15.75" x14ac:dyDescent="0.25">
      <c r="B55" s="65">
        <v>50</v>
      </c>
      <c r="C55" s="66">
        <v>100931</v>
      </c>
      <c r="D55" s="67" t="s">
        <v>97</v>
      </c>
      <c r="E55" s="68">
        <f>1794250.17+(25.58*1129713.15)</f>
        <v>30692312.546999998</v>
      </c>
      <c r="F55" s="68">
        <f t="shared" si="8"/>
        <v>10453740.130000001</v>
      </c>
      <c r="G55" s="104"/>
      <c r="H55" s="68"/>
      <c r="I55" s="68">
        <v>10453740.130000001</v>
      </c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9">
        <f t="shared" si="7"/>
        <v>10453740.130000001</v>
      </c>
    </row>
    <row r="56" spans="2:28" ht="31.5" x14ac:dyDescent="0.25">
      <c r="B56" s="101">
        <v>52</v>
      </c>
      <c r="C56" s="66">
        <v>101133</v>
      </c>
      <c r="D56" s="67" t="s">
        <v>99</v>
      </c>
      <c r="E56" s="102">
        <v>23562987.300000001</v>
      </c>
      <c r="F56" s="102">
        <f t="shared" si="8"/>
        <v>1225454.72</v>
      </c>
      <c r="G56" s="104"/>
      <c r="H56" s="102">
        <v>1225454.72</v>
      </c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3">
        <f>F56-AA56</f>
        <v>1225454.72</v>
      </c>
    </row>
    <row r="57" spans="2:28" ht="31.5" x14ac:dyDescent="0.25">
      <c r="B57" s="101">
        <v>52</v>
      </c>
      <c r="C57" s="66">
        <v>101123</v>
      </c>
      <c r="D57" s="67" t="s">
        <v>108</v>
      </c>
      <c r="E57" s="102">
        <v>27427807.800000001</v>
      </c>
      <c r="F57" s="102">
        <f t="shared" si="8"/>
        <v>26548295.399999999</v>
      </c>
      <c r="G57" s="104">
        <v>26548295.399999999</v>
      </c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3">
        <f>F57-AA57</f>
        <v>26548295.399999999</v>
      </c>
    </row>
    <row r="58" spans="2:28" ht="31.5" x14ac:dyDescent="0.25">
      <c r="B58" s="101">
        <v>59</v>
      </c>
      <c r="C58" s="66">
        <v>101159</v>
      </c>
      <c r="D58" s="67" t="s">
        <v>109</v>
      </c>
      <c r="E58" s="102">
        <v>7011841.5</v>
      </c>
      <c r="F58" s="102">
        <f>SUM(G58:Z58)</f>
        <v>54528.299999999996</v>
      </c>
      <c r="G58" s="104">
        <f>3029.35+51498.95</f>
        <v>54528.299999999996</v>
      </c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3">
        <f>F58-AA58</f>
        <v>54528.299999999996</v>
      </c>
    </row>
    <row r="59" spans="2:28" ht="31.5" x14ac:dyDescent="0.25">
      <c r="B59" s="101">
        <v>19</v>
      </c>
      <c r="C59" s="66">
        <v>1206</v>
      </c>
      <c r="D59" s="67" t="s">
        <v>105</v>
      </c>
      <c r="E59" s="102">
        <v>4009489.18</v>
      </c>
      <c r="F59" s="102">
        <f>SUM(G59:Z59)</f>
        <v>41382</v>
      </c>
      <c r="G59" s="104">
        <v>41382</v>
      </c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3">
        <f>F59-AA59</f>
        <v>41382</v>
      </c>
    </row>
    <row r="60" spans="2:28" ht="63.75" thickBot="1" x14ac:dyDescent="0.3">
      <c r="B60" s="94">
        <v>19</v>
      </c>
      <c r="C60" s="95">
        <v>1127</v>
      </c>
      <c r="D60" s="96" t="s">
        <v>107</v>
      </c>
      <c r="E60" s="97">
        <v>6813999</v>
      </c>
      <c r="F60" s="102">
        <f>SUM(G60:Z60)</f>
        <v>1501164.9</v>
      </c>
      <c r="G60" s="97">
        <v>1501164.9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103">
        <f>F60-AA60</f>
        <v>1501164.9</v>
      </c>
    </row>
    <row r="61" spans="2:28" ht="20.100000000000001" customHeight="1" thickTop="1" thickBot="1" x14ac:dyDescent="0.3">
      <c r="B61" s="81"/>
      <c r="C61" s="82"/>
      <c r="D61" s="82"/>
      <c r="E61" s="83">
        <f>SUM(E4:E60)</f>
        <v>1345467135.257</v>
      </c>
      <c r="F61" s="83">
        <f>SUM(F4:F60)</f>
        <v>621444285.64999986</v>
      </c>
      <c r="G61" s="83">
        <f>SUM(G4:G60)</f>
        <v>34276098.340000004</v>
      </c>
      <c r="H61" s="83">
        <f t="shared" ref="H61:Z61" si="9">SUM(H4:H60)</f>
        <v>33723490.390000001</v>
      </c>
      <c r="I61" s="83">
        <f t="shared" si="9"/>
        <v>34962249.579999998</v>
      </c>
      <c r="J61" s="83">
        <f t="shared" si="9"/>
        <v>68195259.400000006</v>
      </c>
      <c r="K61" s="83">
        <f t="shared" si="9"/>
        <v>19919223.909999996</v>
      </c>
      <c r="L61" s="83">
        <f t="shared" si="9"/>
        <v>53366828.850000001</v>
      </c>
      <c r="M61" s="83">
        <f t="shared" si="9"/>
        <v>25764997.969999999</v>
      </c>
      <c r="N61" s="83">
        <f t="shared" si="9"/>
        <v>56876644.520000003</v>
      </c>
      <c r="O61" s="83">
        <f t="shared" si="9"/>
        <v>55694756.119999997</v>
      </c>
      <c r="P61" s="83">
        <f t="shared" si="9"/>
        <v>3693296.3600000003</v>
      </c>
      <c r="Q61" s="83">
        <f t="shared" si="9"/>
        <v>894272.2</v>
      </c>
      <c r="R61" s="83">
        <f t="shared" si="9"/>
        <v>17376.990000000002</v>
      </c>
      <c r="S61" s="83">
        <f t="shared" si="9"/>
        <v>16414704.029999999</v>
      </c>
      <c r="T61" s="83">
        <f t="shared" si="9"/>
        <v>3244919.44</v>
      </c>
      <c r="U61" s="83">
        <f t="shared" si="9"/>
        <v>30566884.609999999</v>
      </c>
      <c r="V61" s="83">
        <f t="shared" si="9"/>
        <v>18250721.109999999</v>
      </c>
      <c r="W61" s="83">
        <f t="shared" si="9"/>
        <v>19474817.859999999</v>
      </c>
      <c r="X61" s="83">
        <f t="shared" si="9"/>
        <v>59854153.43</v>
      </c>
      <c r="Y61" s="83">
        <f t="shared" si="9"/>
        <v>37393590.539999999</v>
      </c>
      <c r="Z61" s="83">
        <f t="shared" si="9"/>
        <v>48860000</v>
      </c>
      <c r="AA61" s="83">
        <f>SUM(AA4:AA60)</f>
        <v>304588559.5</v>
      </c>
      <c r="AB61" s="84">
        <f>SUM(AB4:AB60)</f>
        <v>316855726.14999998</v>
      </c>
    </row>
    <row r="62" spans="2:28" ht="24.75" customHeight="1" thickTop="1" thickBot="1" x14ac:dyDescent="0.3">
      <c r="B62" s="117" t="s">
        <v>40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85">
        <f>600000000-AB61</f>
        <v>283144273.85000002</v>
      </c>
    </row>
    <row r="63" spans="2:28" ht="15.75" thickTop="1" x14ac:dyDescent="0.25"/>
    <row r="64" spans="2:28" x14ac:dyDescent="0.25">
      <c r="AA64" s="100"/>
    </row>
  </sheetData>
  <mergeCells count="35">
    <mergeCell ref="B62:AA62"/>
    <mergeCell ref="B1:E1"/>
    <mergeCell ref="AA2:AA3"/>
    <mergeCell ref="AB2:AB3"/>
    <mergeCell ref="F2:F3"/>
    <mergeCell ref="C2:C3"/>
    <mergeCell ref="D2:D3"/>
    <mergeCell ref="B2:B3"/>
    <mergeCell ref="E2:E3"/>
    <mergeCell ref="W2:W3"/>
    <mergeCell ref="X2:X3"/>
    <mergeCell ref="Y2:Y3"/>
    <mergeCell ref="Z2:Z3"/>
    <mergeCell ref="V2:V3"/>
    <mergeCell ref="U2:U3"/>
    <mergeCell ref="L2:L3"/>
    <mergeCell ref="AB40:AB41"/>
    <mergeCell ref="H2:H3"/>
    <mergeCell ref="I2:I3"/>
    <mergeCell ref="J2:J3"/>
    <mergeCell ref="K2:K3"/>
    <mergeCell ref="M2:M3"/>
    <mergeCell ref="R2:R3"/>
    <mergeCell ref="N2:N3"/>
    <mergeCell ref="T2:T3"/>
    <mergeCell ref="S2:S3"/>
    <mergeCell ref="Q2:Q3"/>
    <mergeCell ref="O2:O3"/>
    <mergeCell ref="P2:P3"/>
    <mergeCell ref="AA40:AA41"/>
    <mergeCell ref="G2:G3"/>
    <mergeCell ref="D40:D41"/>
    <mergeCell ref="B40:B41"/>
    <mergeCell ref="E40:E41"/>
    <mergeCell ref="F40:F41"/>
  </mergeCells>
  <pageMargins left="0.70866141732283472" right="0.70866141732283472" top="0.39370078740157483" bottom="0.78740157480314965" header="0.31496062992125984" footer="0.31496062992125984"/>
  <pageSetup paperSize="9" scale="70" firstPageNumber="5" fitToHeight="0" orientation="landscape" useFirstPageNumber="1" r:id="rId1"/>
  <headerFooter>
    <oddFooter>&amp;LZastupitelstvo Olomouckého kraje 17. 9. 2018
7.3.1. - Rozpočet Olomouckého kraje 2018 - čerpání revolvingového úvěru KB - DODATEK
Příloha č. 2 - přehled revolvingového úvěru&amp;RStrana &amp;P (celkem 7)</oddFooter>
  </headerFooter>
  <rowBreaks count="1" manualBreakCount="1">
    <brk id="28" min="1" max="2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45" t="s">
        <v>25</v>
      </c>
      <c r="B1" s="145"/>
      <c r="C1" s="145"/>
      <c r="D1" s="145"/>
      <c r="E1" s="145"/>
      <c r="F1" s="145"/>
      <c r="G1" s="14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8" t="s">
        <v>0</v>
      </c>
      <c r="B4" s="130" t="s">
        <v>5</v>
      </c>
      <c r="C4" s="130" t="s">
        <v>6</v>
      </c>
      <c r="D4" s="132" t="s">
        <v>10</v>
      </c>
      <c r="E4" s="132" t="s">
        <v>1</v>
      </c>
      <c r="F4" s="140" t="s">
        <v>4</v>
      </c>
      <c r="G4" s="132" t="s">
        <v>7</v>
      </c>
      <c r="H4" s="136" t="s">
        <v>3</v>
      </c>
      <c r="I4" s="132" t="s">
        <v>9</v>
      </c>
      <c r="J4" s="132" t="s">
        <v>12</v>
      </c>
      <c r="K4" s="132" t="s">
        <v>8</v>
      </c>
      <c r="L4" s="138" t="s">
        <v>13</v>
      </c>
      <c r="M4" s="134" t="s">
        <v>14</v>
      </c>
    </row>
    <row r="5" spans="1:13" ht="39" customHeight="1" thickBot="1" x14ac:dyDescent="0.25">
      <c r="A5" s="129"/>
      <c r="B5" s="131"/>
      <c r="C5" s="131"/>
      <c r="D5" s="133"/>
      <c r="E5" s="133"/>
      <c r="F5" s="141"/>
      <c r="G5" s="133"/>
      <c r="H5" s="137"/>
      <c r="I5" s="133"/>
      <c r="J5" s="133"/>
      <c r="K5" s="133"/>
      <c r="L5" s="139"/>
      <c r="M5" s="13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42" t="s">
        <v>2</v>
      </c>
      <c r="B11" s="143"/>
      <c r="C11" s="143"/>
      <c r="D11" s="143"/>
      <c r="E11" s="14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8" t="s">
        <v>0</v>
      </c>
      <c r="B13" s="130" t="s">
        <v>5</v>
      </c>
      <c r="C13" s="130" t="s">
        <v>6</v>
      </c>
      <c r="D13" s="132" t="s">
        <v>10</v>
      </c>
      <c r="E13" s="132" t="s">
        <v>1</v>
      </c>
      <c r="F13" s="140" t="s">
        <v>4</v>
      </c>
      <c r="G13" s="132" t="s">
        <v>7</v>
      </c>
      <c r="H13" s="136" t="s">
        <v>3</v>
      </c>
      <c r="I13" s="132" t="s">
        <v>9</v>
      </c>
      <c r="J13" s="132" t="s">
        <v>12</v>
      </c>
      <c r="K13" s="132" t="s">
        <v>8</v>
      </c>
      <c r="L13" s="138" t="s">
        <v>13</v>
      </c>
      <c r="M13" s="134" t="s">
        <v>14</v>
      </c>
    </row>
    <row r="14" spans="1:13" ht="39" customHeight="1" thickBot="1" x14ac:dyDescent="0.25">
      <c r="A14" s="129"/>
      <c r="B14" s="131"/>
      <c r="C14" s="131"/>
      <c r="D14" s="133"/>
      <c r="E14" s="133"/>
      <c r="F14" s="141"/>
      <c r="G14" s="133"/>
      <c r="H14" s="137"/>
      <c r="I14" s="133"/>
      <c r="J14" s="133"/>
      <c r="K14" s="133"/>
      <c r="L14" s="139"/>
      <c r="M14" s="13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42" t="s">
        <v>26</v>
      </c>
      <c r="B19" s="143"/>
      <c r="C19" s="143"/>
      <c r="D19" s="143"/>
      <c r="E19" s="14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42" t="s">
        <v>2</v>
      </c>
      <c r="B21" s="143"/>
      <c r="C21" s="143"/>
      <c r="D21" s="143"/>
      <c r="E21" s="14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44"/>
      <c r="L22" s="14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2018-09-05T07:58:21Z</cp:lastPrinted>
  <dcterms:created xsi:type="dcterms:W3CDTF">2013-11-04T07:24:03Z</dcterms:created>
  <dcterms:modified xsi:type="dcterms:W3CDTF">2018-09-05T11:12:04Z</dcterms:modified>
</cp:coreProperties>
</file>