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Úvěrový rámec\KB\REVOLVINGOVÝ ÚVĚR 600 mil. Kč\19. čerpání\ZOK\"/>
    </mc:Choice>
  </mc:AlternateContent>
  <bookViews>
    <workbookView xWindow="-1005" yWindow="1815" windowWidth="15570" windowHeight="9975"/>
  </bookViews>
  <sheets>
    <sheet name="Přehled úvěru" sheetId="6" r:id="rId1"/>
    <sheet name="Dotace - aktualizace" sheetId="9" state="hidden" r:id="rId2"/>
  </sheets>
  <definedNames>
    <definedName name="_xlnm.Print_Titles" localSheetId="0">'Přehled úvěru'!$2:$3</definedName>
    <definedName name="_xlnm.Print_Area" localSheetId="0">'Přehled úvěru'!$B$1:$AA$58</definedName>
  </definedNames>
  <calcPr calcId="162913"/>
</workbook>
</file>

<file path=xl/calcChain.xml><?xml version="1.0" encoding="utf-8"?>
<calcChain xmlns="http://schemas.openxmlformats.org/spreadsheetml/2006/main">
  <c r="E57" i="6" l="1"/>
  <c r="G57" i="6"/>
  <c r="F57" i="6"/>
  <c r="AA57" i="6"/>
  <c r="AA56" i="6"/>
  <c r="F40" i="6" l="1"/>
  <c r="F13" i="6" l="1"/>
  <c r="G38" i="6"/>
  <c r="G13" i="6"/>
  <c r="G9" i="6"/>
  <c r="G10" i="6" l="1"/>
  <c r="G32" i="6"/>
  <c r="G52" i="6" l="1"/>
  <c r="AA40" i="6"/>
  <c r="K40" i="6"/>
  <c r="I40" i="6"/>
  <c r="G40" i="6"/>
  <c r="W57" i="6" l="1"/>
  <c r="V57" i="6"/>
  <c r="T57" i="6"/>
  <c r="S57" i="6"/>
  <c r="Q57" i="6"/>
  <c r="O57" i="6"/>
  <c r="F56" i="6"/>
  <c r="F7" i="6" l="1"/>
  <c r="F12" i="6"/>
  <c r="F15" i="6"/>
  <c r="F17" i="6"/>
  <c r="F18" i="6"/>
  <c r="F19" i="6"/>
  <c r="F20" i="6"/>
  <c r="F21" i="6"/>
  <c r="F22" i="6"/>
  <c r="F26" i="6"/>
  <c r="F27" i="6"/>
  <c r="F28" i="6"/>
  <c r="F29" i="6"/>
  <c r="F32" i="6"/>
  <c r="F34" i="6"/>
  <c r="F35" i="6"/>
  <c r="F36" i="6"/>
  <c r="F37" i="6"/>
  <c r="F39" i="6"/>
  <c r="F42" i="6"/>
  <c r="F43" i="6"/>
  <c r="F45" i="6"/>
  <c r="F46" i="6"/>
  <c r="F47" i="6"/>
  <c r="F48" i="6"/>
  <c r="F49" i="6"/>
  <c r="F51" i="6"/>
  <c r="F53" i="6"/>
  <c r="F54" i="6"/>
  <c r="F55" i="6"/>
  <c r="F4" i="6"/>
  <c r="E55" i="6" l="1"/>
  <c r="H33" i="6"/>
  <c r="AA55" i="6" l="1"/>
  <c r="H38" i="6" l="1"/>
  <c r="F38" i="6" s="1"/>
  <c r="AA54" i="6" l="1"/>
  <c r="H16" i="6"/>
  <c r="AA53" i="6" l="1"/>
  <c r="H52" i="6"/>
  <c r="F52" i="6" s="1"/>
  <c r="AA52" i="6" l="1"/>
  <c r="H57" i="6"/>
  <c r="AA51" i="6"/>
  <c r="I14" i="6" l="1"/>
  <c r="F14" i="6" s="1"/>
  <c r="I10" i="6" l="1"/>
  <c r="I5" i="6" l="1"/>
  <c r="I9" i="6" l="1"/>
  <c r="I50" i="6" l="1"/>
  <c r="F50" i="6" s="1"/>
  <c r="AA50" i="6" s="1"/>
  <c r="AA48" i="6"/>
  <c r="AA49" i="6"/>
  <c r="I8" i="6" l="1"/>
  <c r="AA47" i="6" l="1"/>
  <c r="I25" i="6"/>
  <c r="I16" i="6"/>
  <c r="I44" i="6" l="1"/>
  <c r="I57" i="6" l="1"/>
  <c r="AA46" i="6"/>
  <c r="AA45" i="6" l="1"/>
  <c r="J10" i="6" l="1"/>
  <c r="J9" i="6" l="1"/>
  <c r="J44" i="6"/>
  <c r="F44" i="6" s="1"/>
  <c r="AA44" i="6"/>
  <c r="J57" i="6" l="1"/>
  <c r="K16" i="6"/>
  <c r="F16" i="6" s="1"/>
  <c r="K11" i="6"/>
  <c r="AA43" i="6" l="1"/>
  <c r="AA42" i="6"/>
  <c r="K33" i="6" l="1"/>
  <c r="K57" i="6" l="1"/>
  <c r="AA39" i="6"/>
  <c r="AA38" i="6"/>
  <c r="L30" i="6" l="1"/>
  <c r="F30" i="6" s="1"/>
  <c r="AA36" i="6" l="1"/>
  <c r="AA37" i="6"/>
  <c r="L11" i="6" l="1"/>
  <c r="L10" i="6"/>
  <c r="L5" i="6"/>
  <c r="AA35" i="6"/>
  <c r="L57" i="6" l="1"/>
  <c r="AA34" i="6"/>
  <c r="M31" i="6" l="1"/>
  <c r="F31" i="6" s="1"/>
  <c r="M33" i="6"/>
  <c r="F33" i="6" s="1"/>
  <c r="AA33" i="6" s="1"/>
  <c r="M5" i="6"/>
  <c r="M25" i="6"/>
  <c r="F25" i="6" s="1"/>
  <c r="M9" i="6"/>
  <c r="M10" i="6"/>
  <c r="M57" i="6" l="1"/>
  <c r="AA26" i="6"/>
  <c r="AA27" i="6"/>
  <c r="AA28" i="6"/>
  <c r="AA29" i="6"/>
  <c r="AA30" i="6"/>
  <c r="AA31" i="6"/>
  <c r="AA32" i="6"/>
  <c r="N10" i="6" l="1"/>
  <c r="N9" i="6" l="1"/>
  <c r="F9" i="6" s="1"/>
  <c r="N5" i="6"/>
  <c r="N24" i="6"/>
  <c r="AA25" i="6"/>
  <c r="N23" i="6"/>
  <c r="F23" i="6" s="1"/>
  <c r="N8" i="6"/>
  <c r="AA20" i="6"/>
  <c r="AA21" i="6"/>
  <c r="AA22" i="6"/>
  <c r="AA23" i="6"/>
  <c r="F24" i="6" l="1"/>
  <c r="AA24" i="6" s="1"/>
  <c r="N57" i="6"/>
  <c r="AA19" i="6"/>
  <c r="Z4" i="6" l="1"/>
  <c r="Z57" i="6" l="1"/>
  <c r="AA4" i="6"/>
  <c r="P11" i="6"/>
  <c r="AA15" i="6"/>
  <c r="AA16" i="6"/>
  <c r="AA18" i="6"/>
  <c r="AA17" i="6"/>
  <c r="P57" i="6" l="1"/>
  <c r="AA13" i="6"/>
  <c r="AA14" i="6"/>
  <c r="AA12" i="6" l="1"/>
  <c r="AA9" i="6"/>
  <c r="AA7" i="6"/>
  <c r="R11" i="6"/>
  <c r="R57" i="6" l="1"/>
  <c r="F11" i="6"/>
  <c r="AA11" i="6" s="1"/>
  <c r="U6" i="6"/>
  <c r="X6" i="6"/>
  <c r="X8" i="6"/>
  <c r="F8" i="6" s="1"/>
  <c r="Y6" i="6"/>
  <c r="Y5" i="6"/>
  <c r="X57" i="6" l="1"/>
  <c r="F5" i="6"/>
  <c r="U57" i="6"/>
  <c r="F6" i="6"/>
  <c r="AA6" i="6" s="1"/>
  <c r="AA8" i="6"/>
  <c r="Y10" i="6"/>
  <c r="F10" i="6" s="1"/>
  <c r="Y57" i="6" l="1"/>
  <c r="AA10" i="6"/>
  <c r="AA5" i="6"/>
  <c r="L19" i="9"/>
  <c r="I19" i="9"/>
  <c r="H19" i="9"/>
  <c r="G19" i="9"/>
  <c r="F19" i="9"/>
  <c r="M18" i="9"/>
  <c r="K18" i="9"/>
  <c r="J18" i="9"/>
  <c r="M17" i="9"/>
  <c r="K17" i="9"/>
  <c r="J17" i="9"/>
  <c r="M16" i="9"/>
  <c r="K16" i="9"/>
  <c r="J16" i="9"/>
  <c r="M15" i="9"/>
  <c r="K15" i="9"/>
  <c r="J15" i="9"/>
  <c r="H11" i="9"/>
  <c r="G11" i="9"/>
  <c r="F11" i="9"/>
  <c r="M10" i="9"/>
  <c r="K10" i="9"/>
  <c r="J10" i="9"/>
  <c r="L9" i="9"/>
  <c r="I9" i="9"/>
  <c r="K9" i="9" s="1"/>
  <c r="L8" i="9"/>
  <c r="M8" i="9" s="1"/>
  <c r="I8" i="9"/>
  <c r="J8" i="9" s="1"/>
  <c r="L7" i="9"/>
  <c r="I7" i="9"/>
  <c r="M7" i="9" s="1"/>
  <c r="M6" i="9"/>
  <c r="K6" i="9"/>
  <c r="J6" i="9"/>
  <c r="AA58" i="6" l="1"/>
  <c r="H21" i="9"/>
  <c r="L11" i="9"/>
  <c r="L21" i="9" s="1"/>
  <c r="F21" i="9"/>
  <c r="K19" i="9"/>
  <c r="G21" i="9"/>
  <c r="M19" i="9"/>
  <c r="J7" i="9"/>
  <c r="J9" i="9"/>
  <c r="K7" i="9"/>
  <c r="M9" i="9"/>
  <c r="M11" i="9" s="1"/>
  <c r="M21" i="9" s="1"/>
  <c r="I11" i="9"/>
  <c r="I21" i="9" s="1"/>
  <c r="K8" i="9"/>
  <c r="K11" i="9" l="1"/>
  <c r="K21" i="9" s="1"/>
</calcChain>
</file>

<file path=xl/comments1.xml><?xml version="1.0" encoding="utf-8"?>
<comments xmlns="http://schemas.openxmlformats.org/spreadsheetml/2006/main">
  <authors>
    <author>Foret Oldřich</author>
  </authors>
  <commentList>
    <comment ref="Y5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Přesun finančních prostředků rev. úvěru na projekt: 
II/433 Prostějov - Mořice ve výši: 7 315 000 a 431 000 Kč.
II/449 křiž. II/366 - MÚK Unčovice ve výši: 3 100 000 Kč
</t>
        </r>
      </text>
    </comment>
    <comment ref="X6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fin. prostředků z projektu Muzeum Komenského v Přerově - Záchrana a zpřístupnění paláce na hradě Helfštýn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Y6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fin. prostředků z projektu Muzeum Komenského v Přerově - rekonstrukce budovy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7" authorId="0" shapeId="0">
      <text>
        <r>
          <rPr>
            <b/>
            <sz val="9"/>
            <color indexed="81"/>
            <rFont val="Tahoma"/>
            <charset val="1"/>
          </rPr>
          <t>Není v návrhu rozpočtu na rok 2018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X8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finančních prostředků rev. úvěru na projekt: 
II/449 křiž. II/366 - MÚK Unčovice ve výši: 6 090 000 Kč.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Y10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fin. prostředků z projektu Muzeum Komenského v Přerově - rekonstrukce budovy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55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Projekt vedený v EUR
</t>
        </r>
        <r>
          <rPr>
            <sz val="9"/>
            <color indexed="81"/>
            <rFont val="Tahoma"/>
            <family val="2"/>
            <charset val="238"/>
          </rPr>
          <t>Dotace pro OK:
66 453,71 EUR = 1 794 250,17 Kč (kurz dle rozhodnutí 27,00 CZK/EUR)
1 129 713,15 = 28 898 062,38 Kč (přepočteno kurzem ČNB k 8. 8. 2018 - 25,58 CZK/EUR)</t>
        </r>
      </text>
    </comment>
  </commentList>
</comments>
</file>

<file path=xl/sharedStrings.xml><?xml version="1.0" encoding="utf-8"?>
<sst xmlns="http://schemas.openxmlformats.org/spreadsheetml/2006/main" count="125" uniqueCount="105">
  <si>
    <t>ORG</t>
  </si>
  <si>
    <t>Název projektu</t>
  </si>
  <si>
    <t>Celkem</t>
  </si>
  <si>
    <t>Předfinancování 2015</t>
  </si>
  <si>
    <t>Celkové náklady</t>
  </si>
  <si>
    <t>ORJ</t>
  </si>
  <si>
    <t>§</t>
  </si>
  <si>
    <t>Dotace</t>
  </si>
  <si>
    <t>Celkem OK 2015</t>
  </si>
  <si>
    <t>Podíl OK 2015</t>
  </si>
  <si>
    <t>Seskup. Pol.</t>
  </si>
  <si>
    <t>v tis. Kč</t>
  </si>
  <si>
    <t>Podíl OK 2015 v %</t>
  </si>
  <si>
    <t>RU 2015</t>
  </si>
  <si>
    <t>Zůstatek          Podíl OK</t>
  </si>
  <si>
    <t>II/439 Ústí – průtah – hranice okr. Vsetín</t>
  </si>
  <si>
    <t>II/446 Chomoutov - Pňovice, křižovatka silnic II/446 a III/44613</t>
  </si>
  <si>
    <t>III/44317 Velká Bystřice - okružní křižovatka</t>
  </si>
  <si>
    <t>III/36916 Šumperk - okružní křižovatka, ul. Temenická</t>
  </si>
  <si>
    <t>Realizace energeticky úsporných opatření - Domov důchodců Prostějov</t>
  </si>
  <si>
    <t>SSOK</t>
  </si>
  <si>
    <t>Silnice II/373 Chudobín – směr Slavětín</t>
  </si>
  <si>
    <t>Silnice II/644  hr. okresu – Mohelnice, ve staničení 11,034 – 20,396</t>
  </si>
  <si>
    <t>Stavební úpravy silnice II/150 v Dřevohosticích</t>
  </si>
  <si>
    <t>II/150 Rokytnice - Předmostí</t>
  </si>
  <si>
    <t>Projekty spolufinancované z evropských fondů - po aktualizaci</t>
  </si>
  <si>
    <t>Celkem SSOK</t>
  </si>
  <si>
    <t>Zůstatek revolvingu ke splacení</t>
  </si>
  <si>
    <t>Čerpání revolvingu KB</t>
  </si>
  <si>
    <t>Muzeum Komenského v Přerově - rekonstrukce budovy</t>
  </si>
  <si>
    <t>v Kč</t>
  </si>
  <si>
    <t>II/446 Uničov - Strukov</t>
  </si>
  <si>
    <t>II/449 křiž. II/366 – MÚK Unčovice</t>
  </si>
  <si>
    <t>II/448 Drahanovice - Olomouc</t>
  </si>
  <si>
    <t>Muzeum Komenského v Přerově – Záchrana a zpřístupnění paláce na hradě Helfštýn</t>
  </si>
  <si>
    <t>Realizace depozitáře pro Vědeckou knihovnu v Olomouci</t>
  </si>
  <si>
    <t>Celková dotace dle rozhodnutí</t>
  </si>
  <si>
    <t>II/433 Prostějov - Mořice</t>
  </si>
  <si>
    <t>Přehled čerpání a splácení revolvingového uvěru</t>
  </si>
  <si>
    <t>Realizace energeticky úsporných opatření – OU a praktická škola Lipová - lázně</t>
  </si>
  <si>
    <t>Zůstatek revolvingového úvěru KB k čerpání</t>
  </si>
  <si>
    <t>7. dílčí čerpání revolvingu KB (5.2.2018) UR/34/56/2018</t>
  </si>
  <si>
    <t>5. dílčí čerpání revolvingu KB (11.12.2017) UR/30/58/2017</t>
  </si>
  <si>
    <t>4. dílčí čerpání revolvingu KB (13.11.2017) UR/27/46/2017</t>
  </si>
  <si>
    <t>3. dílčí čerpání revolvingu KB (2.10.2017) UR/24/45/2017</t>
  </si>
  <si>
    <t>2. dílčí čerpání revolvingu KB (11.9.2017) UR/22/54/2017</t>
  </si>
  <si>
    <t>1. dílčí čerpání revolvingu KB (12.6.2017) UR/17/47/2017</t>
  </si>
  <si>
    <t>8. dílčí čerpání revolvingu KB (19.2.2018) UR/35/35/2018</t>
  </si>
  <si>
    <t>Realizace energeticky úsporných opatření - SŠ, ZŠ a MŠ Prostějov - budova MŠ, ul. St. Manharda a) zateplení</t>
  </si>
  <si>
    <t>Realizace energeticky úsporných opatření - SŠ, ZŠ a MŠ Prostějov - budova MŠ, ul. St. Manharda b) vzduchotechnika</t>
  </si>
  <si>
    <t>Splátka revolvingu KB</t>
  </si>
  <si>
    <t>Střední škola gastronomie a farmářství Jeseník - Tělocvična</t>
  </si>
  <si>
    <t>Realizace energeticky úsporných opatření - SOŠ lesnická a strojírenská Šternberk - domov mládeže</t>
  </si>
  <si>
    <t>Dětské centrum Ostrůvek - Zateplení budovy a střechy objektu D, Mošnerova 1 a) zateplení</t>
  </si>
  <si>
    <t>Dětské centrum Ostrůvek - Zateplení budovy a střechy objektu D, Mošnerova 1 b) vzduchotechnika</t>
  </si>
  <si>
    <t>9. dílčí čerpání revolvingu KB (12.3.2018) UR/37/35/2018</t>
  </si>
  <si>
    <t>Střední průmyslová škola Hranice - Modernizace vozového parku pro praktické vyučování a odborné praxe</t>
  </si>
  <si>
    <t>10. dílčí čerpání revolvingu KB (26.3.2018) UR/38/73/2018</t>
  </si>
  <si>
    <t>6. dílčí čerpání revolvingu KB (22. 1. 2018) UR/33/48/2018</t>
  </si>
  <si>
    <t>11. dílčí čerpání revolvingu KB (16.4.2018) UR/39/54/2018</t>
  </si>
  <si>
    <t>Střední škola logistiky a chemie, Olomouc, U Hradiska 29 - Zateplení budovy školy a) zateplení</t>
  </si>
  <si>
    <t>Střední škola logistiky a chemie, Olomouc, U Hradiska 29 - Zateplení budovy školy b) vzduchotechnika</t>
  </si>
  <si>
    <t>Nákup vybavení a zařízení pro odbornou výuku včetně potřebného IT</t>
  </si>
  <si>
    <t>Kybernetická bezpečnost Krajského úřadu Olomouckého kraje</t>
  </si>
  <si>
    <t xml:space="preserve">Centrum Dominika Kokory, p. o. – rekonstrukce budovy </t>
  </si>
  <si>
    <t>Centrum polytechnické výchovy (Střední škola polytechnická, Olomouc, Rooseveltova 79)</t>
  </si>
  <si>
    <t>Realizace energeticky úsporných opatření – SŠ technická a zemědělská Mohelnice b) vzduchotechnika</t>
  </si>
  <si>
    <t>Realizace energeticky úsporných opatření – SŠ technická a zemědělská Mohelnice a) zateplení</t>
  </si>
  <si>
    <t>Realizace energeticky úsporných opatření - SPŠ elektrotechnická Mohelnice - škola, dílny b) vzduchotechnika</t>
  </si>
  <si>
    <t>Realizace energeticky úsporných opatření - SPŠ elektrotechnická Mohelnice - škola, dílny a) zateplení</t>
  </si>
  <si>
    <t>II/441 Křiž. R35 - hr. Kraje Moravskoslezského</t>
  </si>
  <si>
    <t xml:space="preserve">II/444 kř. R35 Mohelnice - Úsov </t>
  </si>
  <si>
    <t>12. dílčí čerpání revolvingu KB (10.5.2018) UR/41/32/2018</t>
  </si>
  <si>
    <t>Pořízení techniky pro odbornou výuku s IT podporou pro SOŠL a S Šternberk</t>
  </si>
  <si>
    <t>Pořízení nových zařízení a vybavení pro odbornou výuku včetně IT podpory</t>
  </si>
  <si>
    <t>Pořízení vybavení pro odborné učebny - modernizace CNC zařízení a 3D zařízení včetně SW, rekonstrukce nové učebny programovatelných automatů, modernizace konektivity školy ve vazbě na odborné předměty</t>
  </si>
  <si>
    <t>II/444 Medlov - průtah</t>
  </si>
  <si>
    <t>Modernizace infrastruktury Gymnázia Jiřího Wolkera - modernizace učeben ve vazbě na přírodní vědy</t>
  </si>
  <si>
    <t>Vybudování učeben pro výuku oborů Obalová technika, Tiskař na polygrafických strojích a Reprodukční grafik pro média včetně IT podpory</t>
  </si>
  <si>
    <t>13. dílčí čerpání revolvingu KB (21.5.2018) UR/42/42/2018</t>
  </si>
  <si>
    <t>14. dílčí čerpání revolvingu KB (4.6.2018) UR/43/67/2018</t>
  </si>
  <si>
    <t>Celková rekonstrukce zastaralých laboratoří chemických, fyzikálních a biologických, včetně nového vybavení</t>
  </si>
  <si>
    <t>Pořízení CNC strojů, konvenčních obráběcích strojů a vybudování multifukční výukové učebny</t>
  </si>
  <si>
    <t>Dětský domov a školní jídelna, Olomouc, U Sportovní haly 1a a domov mládeže při SŠ zdravotnické Olomouc -zateplení budovy a lodžie</t>
  </si>
  <si>
    <t>Modernizace a vybavení odborné učebny pro obor autolakýrník</t>
  </si>
  <si>
    <t>Vybudování učebny polytechnického vzdělávání</t>
  </si>
  <si>
    <t>15. dílčí čerpání revolvingu KB (18.6.2018) UR/44/47/2018</t>
  </si>
  <si>
    <t>Modernizace učeben a laboratoří na ulici Kouřílkova 8 a Bratří Hovůrkových 17</t>
  </si>
  <si>
    <t>Zřízení jazykové laboratoře, laboratoře fyziky a odborné učebny fyziky</t>
  </si>
  <si>
    <t>Pořízení techniky pro odbornou výuku s IT podporou</t>
  </si>
  <si>
    <t>Modernizace učeben odborného výcviku včetně SW pro CNC stroje</t>
  </si>
  <si>
    <t>16. dílčí čerpání revolvingu KB (25.6.2018)                 UR/45/10/2018</t>
  </si>
  <si>
    <t>Vybavení školních laboratoří v bezbariérové škole (VOŠ a SPŠ elektrotechnická - Olomouc, Božetěchova 3)</t>
  </si>
  <si>
    <t>Gymnázium Jana Blahoslava a Střední pedagogická škola Přerov - vybudování chemické laboratoře, dvou jazykových učeben, vybudování fyzikální učebny a konektivity školy</t>
  </si>
  <si>
    <t>Kybernetická bezpečnost ICT Odborného léčebného ústavu Paseka, p.o.</t>
  </si>
  <si>
    <t>SŠZe Přerov - modernizace teoretické a odborné výuky</t>
  </si>
  <si>
    <t>Modernizace učeben, vybavení a vnitřní konektivity školy - Gymnázium Olomouc - Hejčín</t>
  </si>
  <si>
    <t>Hotelová škola V. Priessnitze Jeseník - zateplení budovy KORD - a)</t>
  </si>
  <si>
    <t>Zvýšení přeshraniční dostupnosti Písečná - Nysa</t>
  </si>
  <si>
    <t>17. dílčí čerpání revolvingu KB (23.7.2018) UR/46/60/2018</t>
  </si>
  <si>
    <t>19. dílčí čerpání revolvingu KB (27.8.2018)</t>
  </si>
  <si>
    <t>Modernizace školních dílen jako centrum odborné přípravy - stavební část (Sigmundova střední škola strojírenská, Lutín)</t>
  </si>
  <si>
    <t>Výstavba odborných učeben - laboratoře pro výuku v oboru 28-44-M/01 aplikovaná chemie a bezbariérové úpravy (Střední škola logistiky a chemie, Olomouc, U hradiska 29)</t>
  </si>
  <si>
    <t>Bezbariérovost školy a pořízení strojů pro zajištění výuky oborů Strojírenství, Elektrotechnika, Průmyslový a Interiérový design</t>
  </si>
  <si>
    <t>18. dílčí čerpání revolvingu KB (14.8.2018) UR/47/7/2018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</si>
</sst>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3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3"/>
      <color theme="1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5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dashed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ck">
        <color auto="1"/>
      </right>
      <top style="dashed">
        <color auto="1"/>
      </top>
      <bottom/>
      <diagonal/>
    </border>
    <border>
      <left style="thick">
        <color auto="1"/>
      </left>
      <right style="thin">
        <color auto="1"/>
      </right>
      <top style="dash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dashed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ck">
        <color auto="1"/>
      </right>
      <top/>
      <bottom style="dashed">
        <color auto="1"/>
      </bottom>
      <diagonal/>
    </border>
    <border>
      <left style="thick">
        <color auto="1"/>
      </left>
      <right style="thin">
        <color auto="1"/>
      </right>
      <top style="dashed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dashed">
        <color auto="1"/>
      </top>
      <bottom style="double">
        <color auto="1"/>
      </bottom>
      <diagonal/>
    </border>
  </borders>
  <cellStyleXfs count="13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</cellStyleXfs>
  <cellXfs count="140">
    <xf numFmtId="0" fontId="0" fillId="0" borderId="0" xfId="0"/>
    <xf numFmtId="0" fontId="1" fillId="0" borderId="0" xfId="0" applyFont="1" applyAlignment="1">
      <alignment horizontal="right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horizontal="right"/>
    </xf>
    <xf numFmtId="0" fontId="7" fillId="0" borderId="0" xfId="1" applyFont="1" applyFill="1" applyBorder="1"/>
    <xf numFmtId="0" fontId="6" fillId="0" borderId="0" xfId="1" applyFont="1" applyFill="1" applyAlignment="1">
      <alignment horizontal="right"/>
    </xf>
    <xf numFmtId="0" fontId="7" fillId="0" borderId="0" xfId="1" applyFont="1" applyFill="1"/>
    <xf numFmtId="0" fontId="10" fillId="0" borderId="13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left" vertical="center" wrapText="1"/>
    </xf>
    <xf numFmtId="3" fontId="11" fillId="0" borderId="8" xfId="1" applyNumberFormat="1" applyFont="1" applyFill="1" applyBorder="1" applyAlignment="1">
      <alignment horizontal="center" vertical="center"/>
    </xf>
    <xf numFmtId="3" fontId="10" fillId="0" borderId="8" xfId="1" applyNumberFormat="1" applyFont="1" applyFill="1" applyBorder="1" applyAlignment="1">
      <alignment horizontal="center" vertical="center" wrapText="1"/>
    </xf>
    <xf numFmtId="9" fontId="10" fillId="0" borderId="8" xfId="1" applyNumberFormat="1" applyFont="1" applyFill="1" applyBorder="1" applyAlignment="1">
      <alignment horizontal="center" vertical="center" wrapText="1"/>
    </xf>
    <xf numFmtId="3" fontId="6" fillId="0" borderId="8" xfId="1" applyNumberFormat="1" applyFont="1" applyFill="1" applyBorder="1" applyAlignment="1">
      <alignment horizontal="center" vertical="center" wrapText="1"/>
    </xf>
    <xf numFmtId="3" fontId="7" fillId="0" borderId="8" xfId="1" applyNumberFormat="1" applyFont="1" applyFill="1" applyBorder="1" applyAlignment="1">
      <alignment horizontal="center" vertical="center" wrapText="1"/>
    </xf>
    <xf numFmtId="3" fontId="7" fillId="0" borderId="14" xfId="1" applyNumberFormat="1" applyFont="1" applyFill="1" applyBorder="1" applyAlignment="1">
      <alignment horizontal="center" vertical="center"/>
    </xf>
    <xf numFmtId="0" fontId="10" fillId="0" borderId="15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left" vertical="center" wrapText="1"/>
    </xf>
    <xf numFmtId="3" fontId="10" fillId="0" borderId="3" xfId="1" applyNumberFormat="1" applyFont="1" applyFill="1" applyBorder="1" applyAlignment="1">
      <alignment horizontal="center" vertical="center"/>
    </xf>
    <xf numFmtId="3" fontId="10" fillId="0" borderId="3" xfId="1" applyNumberFormat="1" applyFont="1" applyFill="1" applyBorder="1" applyAlignment="1">
      <alignment horizontal="center" vertical="center" wrapText="1"/>
    </xf>
    <xf numFmtId="3" fontId="6" fillId="0" borderId="3" xfId="1" applyNumberFormat="1" applyFont="1" applyFill="1" applyBorder="1" applyAlignment="1">
      <alignment horizontal="center" vertical="center" wrapText="1"/>
    </xf>
    <xf numFmtId="3" fontId="7" fillId="0" borderId="3" xfId="1" applyNumberFormat="1" applyFont="1" applyFill="1" applyBorder="1" applyAlignment="1">
      <alignment horizontal="center" vertical="center"/>
    </xf>
    <xf numFmtId="3" fontId="7" fillId="0" borderId="16" xfId="1" applyNumberFormat="1" applyFont="1" applyFill="1" applyBorder="1" applyAlignment="1">
      <alignment horizontal="center" vertical="center"/>
    </xf>
    <xf numFmtId="3" fontId="7" fillId="0" borderId="3" xfId="1" applyNumberFormat="1" applyFont="1" applyFill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center" vertical="center"/>
    </xf>
    <xf numFmtId="0" fontId="10" fillId="0" borderId="12" xfId="1" applyFont="1" applyFill="1" applyBorder="1" applyAlignment="1">
      <alignment horizontal="center" vertical="center"/>
    </xf>
    <xf numFmtId="0" fontId="10" fillId="2" borderId="12" xfId="1" applyFont="1" applyFill="1" applyBorder="1" applyAlignment="1">
      <alignment horizontal="left" vertical="center" wrapText="1"/>
    </xf>
    <xf numFmtId="3" fontId="10" fillId="0" borderId="12" xfId="1" applyNumberFormat="1" applyFont="1" applyFill="1" applyBorder="1" applyAlignment="1">
      <alignment horizontal="center" vertical="center"/>
    </xf>
    <xf numFmtId="3" fontId="10" fillId="0" borderId="12" xfId="1" applyNumberFormat="1" applyFont="1" applyFill="1" applyBorder="1" applyAlignment="1">
      <alignment horizontal="center" vertical="center" wrapText="1"/>
    </xf>
    <xf numFmtId="9" fontId="10" fillId="0" borderId="4" xfId="1" applyNumberFormat="1" applyFont="1" applyFill="1" applyBorder="1" applyAlignment="1">
      <alignment horizontal="center" vertical="center" wrapText="1"/>
    </xf>
    <xf numFmtId="3" fontId="6" fillId="0" borderId="12" xfId="1" applyNumberFormat="1" applyFont="1" applyFill="1" applyBorder="1" applyAlignment="1">
      <alignment horizontal="center" vertical="center" wrapText="1"/>
    </xf>
    <xf numFmtId="3" fontId="7" fillId="0" borderId="17" xfId="1" applyNumberFormat="1" applyFont="1" applyFill="1" applyBorder="1" applyAlignment="1">
      <alignment horizontal="center" vertical="center"/>
    </xf>
    <xf numFmtId="3" fontId="7" fillId="0" borderId="18" xfId="1" applyNumberFormat="1" applyFont="1" applyFill="1" applyBorder="1" applyAlignment="1">
      <alignment horizontal="center" vertical="center"/>
    </xf>
    <xf numFmtId="3" fontId="12" fillId="0" borderId="2" xfId="1" applyNumberFormat="1" applyFont="1" applyFill="1" applyBorder="1" applyAlignment="1">
      <alignment horizontal="center" vertical="center"/>
    </xf>
    <xf numFmtId="3" fontId="12" fillId="0" borderId="20" xfId="1" applyNumberFormat="1" applyFont="1" applyFill="1" applyBorder="1" applyAlignment="1">
      <alignment horizontal="center" vertical="center"/>
    </xf>
    <xf numFmtId="3" fontId="12" fillId="0" borderId="21" xfId="1" applyNumberFormat="1" applyFont="1" applyFill="1" applyBorder="1" applyAlignment="1">
      <alignment horizontal="center" vertical="center"/>
    </xf>
    <xf numFmtId="0" fontId="13" fillId="0" borderId="0" xfId="1" applyFont="1" applyFill="1"/>
    <xf numFmtId="0" fontId="7" fillId="0" borderId="0" xfId="1" applyFont="1" applyFill="1" applyAlignment="1">
      <alignment wrapText="1"/>
    </xf>
    <xf numFmtId="0" fontId="7" fillId="4" borderId="15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left" vertical="center" wrapText="1"/>
    </xf>
    <xf numFmtId="3" fontId="7" fillId="0" borderId="3" xfId="1" applyNumberFormat="1" applyFont="1" applyFill="1" applyBorder="1" applyAlignment="1">
      <alignment horizontal="center"/>
    </xf>
    <xf numFmtId="0" fontId="7" fillId="4" borderId="22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10" fillId="0" borderId="17" xfId="1" applyFont="1" applyFill="1" applyBorder="1" applyAlignment="1">
      <alignment horizontal="center" vertical="center"/>
    </xf>
    <xf numFmtId="0" fontId="10" fillId="2" borderId="17" xfId="1" applyFont="1" applyFill="1" applyBorder="1" applyAlignment="1">
      <alignment horizontal="left" vertical="center" wrapText="1"/>
    </xf>
    <xf numFmtId="3" fontId="10" fillId="0" borderId="17" xfId="1" applyNumberFormat="1" applyFont="1" applyFill="1" applyBorder="1" applyAlignment="1">
      <alignment horizontal="center" vertical="center"/>
    </xf>
    <xf numFmtId="3" fontId="10" fillId="0" borderId="17" xfId="1" applyNumberFormat="1" applyFont="1" applyFill="1" applyBorder="1" applyAlignment="1">
      <alignment horizontal="center" vertical="center" wrapText="1"/>
    </xf>
    <xf numFmtId="3" fontId="6" fillId="0" borderId="17" xfId="1" applyNumberFormat="1" applyFont="1" applyFill="1" applyBorder="1" applyAlignment="1">
      <alignment horizontal="center" vertical="center" wrapText="1"/>
    </xf>
    <xf numFmtId="3" fontId="14" fillId="0" borderId="0" xfId="11" applyNumberFormat="1" applyFont="1" applyFill="1"/>
    <xf numFmtId="0" fontId="6" fillId="0" borderId="0" xfId="1" applyFont="1" applyFill="1" applyBorder="1"/>
    <xf numFmtId="3" fontId="12" fillId="5" borderId="2" xfId="1" applyNumberFormat="1" applyFont="1" applyFill="1" applyBorder="1" applyAlignment="1">
      <alignment horizontal="center" vertical="center"/>
    </xf>
    <xf numFmtId="3" fontId="12" fillId="5" borderId="20" xfId="1" applyNumberFormat="1" applyFont="1" applyFill="1" applyBorder="1" applyAlignment="1">
      <alignment horizontal="center" vertical="center"/>
    </xf>
    <xf numFmtId="0" fontId="2" fillId="0" borderId="0" xfId="0" applyFont="1" applyBorder="1" applyAlignment="1"/>
    <xf numFmtId="0" fontId="5" fillId="0" borderId="35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vertical="center" wrapText="1"/>
    </xf>
    <xf numFmtId="4" fontId="5" fillId="0" borderId="36" xfId="0" applyNumberFormat="1" applyFont="1" applyFill="1" applyBorder="1" applyAlignment="1">
      <alignment horizontal="right" vertical="center"/>
    </xf>
    <xf numFmtId="4" fontId="5" fillId="0" borderId="37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vertical="center" wrapText="1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40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vertical="center" wrapText="1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3" xfId="0" applyNumberFormat="1" applyFont="1" applyFill="1" applyBorder="1" applyAlignment="1">
      <alignment horizontal="right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vertical="center" wrapText="1"/>
    </xf>
    <xf numFmtId="4" fontId="5" fillId="0" borderId="45" xfId="0" applyNumberFormat="1" applyFont="1" applyFill="1" applyBorder="1" applyAlignment="1">
      <alignment horizontal="right" vertical="center"/>
    </xf>
    <xf numFmtId="4" fontId="5" fillId="0" borderId="46" xfId="0" applyNumberFormat="1" applyFont="1" applyFill="1" applyBorder="1" applyAlignment="1">
      <alignment horizontal="right" vertical="center"/>
    </xf>
    <xf numFmtId="0" fontId="5" fillId="0" borderId="47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 wrapText="1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48" xfId="0" applyNumberFormat="1" applyFont="1" applyFill="1" applyBorder="1" applyAlignment="1">
      <alignment horizontal="right" vertical="center"/>
    </xf>
    <xf numFmtId="4" fontId="5" fillId="0" borderId="49" xfId="0" applyNumberFormat="1" applyFont="1" applyFill="1" applyBorder="1" applyAlignment="1">
      <alignment horizontal="right" vertical="center"/>
    </xf>
    <xf numFmtId="0" fontId="4" fillId="0" borderId="30" xfId="0" applyFont="1" applyFill="1" applyBorder="1" applyAlignment="1">
      <alignment vertical="top" wrapText="1"/>
    </xf>
    <xf numFmtId="0" fontId="4" fillId="0" borderId="31" xfId="0" applyFont="1" applyFill="1" applyBorder="1" applyAlignment="1">
      <alignment vertical="top" wrapText="1"/>
    </xf>
    <xf numFmtId="4" fontId="4" fillId="0" borderId="31" xfId="0" applyNumberFormat="1" applyFont="1" applyFill="1" applyBorder="1" applyAlignment="1">
      <alignment horizontal="right" vertical="top"/>
    </xf>
    <xf numFmtId="4" fontId="19" fillId="0" borderId="29" xfId="0" applyNumberFormat="1" applyFont="1" applyFill="1" applyBorder="1" applyAlignment="1">
      <alignment horizontal="right" vertical="top"/>
    </xf>
    <xf numFmtId="4" fontId="19" fillId="0" borderId="34" xfId="0" applyNumberFormat="1" applyFont="1" applyFill="1" applyBorder="1" applyAlignment="1">
      <alignment horizontal="right" vertical="top"/>
    </xf>
    <xf numFmtId="0" fontId="5" fillId="0" borderId="50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vertical="center" wrapText="1"/>
    </xf>
    <xf numFmtId="4" fontId="5" fillId="0" borderId="50" xfId="0" applyNumberFormat="1" applyFont="1" applyFill="1" applyBorder="1" applyAlignment="1">
      <alignment horizontal="right" vertical="center"/>
    </xf>
    <xf numFmtId="4" fontId="5" fillId="0" borderId="51" xfId="0" applyNumberFormat="1" applyFont="1" applyFill="1" applyBorder="1" applyAlignment="1">
      <alignment horizontal="right" vertical="center"/>
    </xf>
    <xf numFmtId="0" fontId="5" fillId="0" borderId="52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3" xfId="0" applyNumberFormat="1" applyFont="1" applyFill="1" applyBorder="1" applyAlignment="1">
      <alignment horizontal="right" vertical="center"/>
    </xf>
    <xf numFmtId="0" fontId="5" fillId="0" borderId="55" xfId="0" applyFont="1" applyFill="1" applyBorder="1" applyAlignment="1">
      <alignment horizontal="center" vertical="center"/>
    </xf>
    <xf numFmtId="0" fontId="5" fillId="0" borderId="56" xfId="0" applyFont="1" applyFill="1" applyBorder="1" applyAlignment="1">
      <alignment horizontal="center" vertical="center"/>
    </xf>
    <xf numFmtId="0" fontId="5" fillId="0" borderId="56" xfId="0" applyFont="1" applyFill="1" applyBorder="1" applyAlignment="1">
      <alignment vertical="center" wrapText="1"/>
    </xf>
    <xf numFmtId="4" fontId="5" fillId="0" borderId="56" xfId="0" applyNumberFormat="1" applyFont="1" applyFill="1" applyBorder="1" applyAlignment="1">
      <alignment horizontal="right" vertical="center"/>
    </xf>
    <xf numFmtId="4" fontId="5" fillId="0" borderId="57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0" fontId="5" fillId="0" borderId="42" xfId="0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left" vertical="center" wrapText="1"/>
    </xf>
    <xf numFmtId="0" fontId="5" fillId="0" borderId="49" xfId="0" applyFont="1" applyFill="1" applyBorder="1" applyAlignment="1">
      <alignment horizontal="left" vertical="center" wrapText="1"/>
    </xf>
    <xf numFmtId="0" fontId="5" fillId="0" borderId="41" xfId="0" applyFont="1" applyFill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4" fontId="5" fillId="0" borderId="42" xfId="0" applyNumberFormat="1" applyFont="1" applyFill="1" applyBorder="1" applyAlignment="1">
      <alignment horizontal="right" vertical="center"/>
    </xf>
    <xf numFmtId="0" fontId="0" fillId="0" borderId="49" xfId="0" applyBorder="1" applyAlignment="1">
      <alignment horizontal="right" vertical="center"/>
    </xf>
    <xf numFmtId="4" fontId="5" fillId="0" borderId="43" xfId="0" applyNumberFormat="1" applyFont="1" applyFill="1" applyBorder="1" applyAlignment="1">
      <alignment horizontal="right" vertical="center"/>
    </xf>
    <xf numFmtId="0" fontId="0" fillId="0" borderId="54" xfId="0" applyBorder="1" applyAlignment="1">
      <alignment horizontal="right" vertical="center"/>
    </xf>
    <xf numFmtId="0" fontId="1" fillId="3" borderId="25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9" fillId="0" borderId="32" xfId="0" applyFont="1" applyBorder="1" applyAlignment="1">
      <alignment horizontal="right" vertical="top"/>
    </xf>
    <xf numFmtId="0" fontId="19" fillId="0" borderId="33" xfId="0" applyFont="1" applyBorder="1" applyAlignment="1">
      <alignment horizontal="right" vertical="top"/>
    </xf>
    <xf numFmtId="0" fontId="2" fillId="0" borderId="0" xfId="0" applyFont="1" applyBorder="1" applyAlignment="1">
      <alignment horizontal="left"/>
    </xf>
    <xf numFmtId="0" fontId="1" fillId="3" borderId="26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6" fillId="3" borderId="25" xfId="0" applyFont="1" applyFill="1" applyBorder="1" applyAlignment="1">
      <alignment horizontal="center" vertical="center" wrapText="1"/>
    </xf>
    <xf numFmtId="0" fontId="16" fillId="3" borderId="23" xfId="0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9" fillId="0" borderId="7" xfId="10" applyFont="1" applyFill="1" applyBorder="1" applyAlignment="1">
      <alignment horizontal="center" vertical="center" wrapText="1"/>
    </xf>
    <xf numFmtId="0" fontId="9" fillId="0" borderId="6" xfId="10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6" fillId="5" borderId="2" xfId="1" applyFont="1" applyFill="1" applyBorder="1" applyAlignment="1">
      <alignment horizontal="center" vertical="center" wrapText="1"/>
    </xf>
    <xf numFmtId="0" fontId="8" fillId="0" borderId="1" xfId="10" applyFont="1" applyFill="1" applyBorder="1" applyAlignment="1">
      <alignment horizontal="center" vertical="center" wrapText="1"/>
    </xf>
    <xf numFmtId="0" fontId="8" fillId="0" borderId="2" xfId="10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12" fillId="0" borderId="19" xfId="1" applyFont="1" applyFill="1" applyBorder="1" applyAlignment="1">
      <alignment horizontal="left" vertical="center"/>
    </xf>
    <xf numFmtId="0" fontId="12" fillId="0" borderId="20" xfId="1" applyFont="1" applyFill="1" applyBorder="1" applyAlignment="1">
      <alignment horizontal="left" vertical="center"/>
    </xf>
    <xf numFmtId="0" fontId="13" fillId="0" borderId="5" xfId="1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left"/>
    </xf>
  </cellXfs>
  <cellStyles count="13">
    <cellStyle name="Excel Built-in Normal" xfId="12"/>
    <cellStyle name="Normální" xfId="0" builtinId="0"/>
    <cellStyle name="Normální 10" xfId="1"/>
    <cellStyle name="normální 2" xfId="2"/>
    <cellStyle name="Normální 3" xfId="3"/>
    <cellStyle name="Normální 4" xfId="4"/>
    <cellStyle name="Normální 5" xfId="5"/>
    <cellStyle name="Normální 6" xfId="6"/>
    <cellStyle name="Normální 7" xfId="7"/>
    <cellStyle name="Normální 8" xfId="8"/>
    <cellStyle name="Normální 9" xfId="9"/>
    <cellStyle name="normální_kultura2-upravené priority-3" xfId="10"/>
    <cellStyle name="normální_Sešit1" xfId="11"/>
  </cellStyles>
  <dxfs count="0"/>
  <tableStyles count="0" defaultTableStyle="TableStyleMedium2" defaultPivotStyle="PivotStyleLight16"/>
  <colors>
    <mruColors>
      <color rgb="FFFF33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A59"/>
  <sheetViews>
    <sheetView tabSelected="1" zoomScaleNormal="100" zoomScaleSheetLayoutView="100" workbookViewId="0">
      <selection activeCell="Z10" sqref="Z10"/>
    </sheetView>
  </sheetViews>
  <sheetFormatPr defaultRowHeight="15" x14ac:dyDescent="0.25"/>
  <cols>
    <col min="1" max="1" width="1.5703125" customWidth="1"/>
    <col min="2" max="2" width="6.7109375" customWidth="1"/>
    <col min="3" max="3" width="9.140625" customWidth="1"/>
    <col min="4" max="4" width="63.7109375" customWidth="1"/>
    <col min="5" max="5" width="17.7109375" customWidth="1"/>
    <col min="6" max="6" width="16.28515625" customWidth="1"/>
    <col min="7" max="20" width="16.28515625" hidden="1" customWidth="1"/>
    <col min="21" max="21" width="17.140625" hidden="1" customWidth="1"/>
    <col min="22" max="22" width="17.85546875" hidden="1" customWidth="1"/>
    <col min="23" max="23" width="19.42578125" hidden="1" customWidth="1"/>
    <col min="24" max="24" width="17.42578125" hidden="1" customWidth="1"/>
    <col min="25" max="25" width="15.140625" hidden="1" customWidth="1"/>
    <col min="26" max="26" width="17.42578125" customWidth="1"/>
    <col min="27" max="27" width="19.7109375" customWidth="1"/>
  </cols>
  <sheetData>
    <row r="1" spans="2:27" ht="19.5" thickBot="1" x14ac:dyDescent="0.35">
      <c r="B1" s="113" t="s">
        <v>38</v>
      </c>
      <c r="C1" s="113"/>
      <c r="D1" s="113"/>
      <c r="E1" s="113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1" t="s">
        <v>30</v>
      </c>
    </row>
    <row r="2" spans="2:27" ht="15.75" customHeight="1" thickTop="1" x14ac:dyDescent="0.25">
      <c r="B2" s="118" t="s">
        <v>5</v>
      </c>
      <c r="C2" s="116" t="s">
        <v>0</v>
      </c>
      <c r="D2" s="116" t="s">
        <v>1</v>
      </c>
      <c r="E2" s="120" t="s">
        <v>36</v>
      </c>
      <c r="F2" s="109" t="s">
        <v>28</v>
      </c>
      <c r="G2" s="109" t="s">
        <v>100</v>
      </c>
      <c r="H2" s="109" t="s">
        <v>104</v>
      </c>
      <c r="I2" s="109" t="s">
        <v>99</v>
      </c>
      <c r="J2" s="109" t="s">
        <v>91</v>
      </c>
      <c r="K2" s="109" t="s">
        <v>86</v>
      </c>
      <c r="L2" s="109" t="s">
        <v>80</v>
      </c>
      <c r="M2" s="109" t="s">
        <v>79</v>
      </c>
      <c r="N2" s="109" t="s">
        <v>72</v>
      </c>
      <c r="O2" s="109" t="s">
        <v>59</v>
      </c>
      <c r="P2" s="109" t="s">
        <v>57</v>
      </c>
      <c r="Q2" s="109" t="s">
        <v>55</v>
      </c>
      <c r="R2" s="109" t="s">
        <v>47</v>
      </c>
      <c r="S2" s="109" t="s">
        <v>41</v>
      </c>
      <c r="T2" s="109" t="s">
        <v>58</v>
      </c>
      <c r="U2" s="109" t="s">
        <v>42</v>
      </c>
      <c r="V2" s="109" t="s">
        <v>43</v>
      </c>
      <c r="W2" s="109" t="s">
        <v>44</v>
      </c>
      <c r="X2" s="109" t="s">
        <v>45</v>
      </c>
      <c r="Y2" s="109" t="s">
        <v>46</v>
      </c>
      <c r="Z2" s="109" t="s">
        <v>50</v>
      </c>
      <c r="AA2" s="114" t="s">
        <v>27</v>
      </c>
    </row>
    <row r="3" spans="2:27" ht="48.75" customHeight="1" thickBot="1" x14ac:dyDescent="0.3">
      <c r="B3" s="119"/>
      <c r="C3" s="117"/>
      <c r="D3" s="117"/>
      <c r="E3" s="121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5"/>
    </row>
    <row r="4" spans="2:27" ht="16.5" thickTop="1" x14ac:dyDescent="0.25">
      <c r="B4" s="55">
        <v>50</v>
      </c>
      <c r="C4" s="56">
        <v>100915</v>
      </c>
      <c r="D4" s="57" t="s">
        <v>31</v>
      </c>
      <c r="E4" s="58">
        <v>100827566.23</v>
      </c>
      <c r="F4" s="58">
        <f>SUM(G4:Y4)</f>
        <v>84555493</v>
      </c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>
        <v>50732493</v>
      </c>
      <c r="X4" s="58"/>
      <c r="Y4" s="58">
        <v>33823000</v>
      </c>
      <c r="Z4" s="58">
        <f>35722939.54+48832553.46</f>
        <v>84555493</v>
      </c>
      <c r="AA4" s="59">
        <f>F4-Z4</f>
        <v>0</v>
      </c>
    </row>
    <row r="5" spans="2:27" ht="15" customHeight="1" x14ac:dyDescent="0.25">
      <c r="B5" s="60">
        <v>52</v>
      </c>
      <c r="C5" s="61">
        <v>101080</v>
      </c>
      <c r="D5" s="62" t="s">
        <v>29</v>
      </c>
      <c r="E5" s="63">
        <v>43111962.899999999</v>
      </c>
      <c r="F5" s="63">
        <f>SUM(G5:Y5)</f>
        <v>15240345.300000001</v>
      </c>
      <c r="G5" s="63">
        <v>572472</v>
      </c>
      <c r="H5" s="63">
        <v>4737.6000000000004</v>
      </c>
      <c r="I5" s="63">
        <f>4737.6+1599051.6+928194.3</f>
        <v>2531983.5</v>
      </c>
      <c r="J5" s="63"/>
      <c r="K5" s="63">
        <v>2691313.2</v>
      </c>
      <c r="L5" s="63">
        <f>548022.6+827964.9</f>
        <v>1375987.5</v>
      </c>
      <c r="M5" s="63">
        <f>112455+4737.6</f>
        <v>117192.6</v>
      </c>
      <c r="N5" s="63">
        <f>4737.6+548435.7</f>
        <v>553173.29999999993</v>
      </c>
      <c r="O5" s="63">
        <v>3202485.6</v>
      </c>
      <c r="P5" s="63"/>
      <c r="Q5" s="63"/>
      <c r="R5" s="63"/>
      <c r="S5" s="63"/>
      <c r="T5" s="63"/>
      <c r="U5" s="63"/>
      <c r="V5" s="63"/>
      <c r="W5" s="63"/>
      <c r="X5" s="63"/>
      <c r="Y5" s="63">
        <f>15037000-7315000-431000-3100000</f>
        <v>4191000</v>
      </c>
      <c r="Z5" s="63"/>
      <c r="AA5" s="64">
        <f>F5-Z5</f>
        <v>15240345.300000001</v>
      </c>
    </row>
    <row r="6" spans="2:27" ht="15.75" x14ac:dyDescent="0.25">
      <c r="B6" s="60">
        <v>12</v>
      </c>
      <c r="C6" s="61">
        <v>1600</v>
      </c>
      <c r="D6" s="62" t="s">
        <v>32</v>
      </c>
      <c r="E6" s="63">
        <v>164072363.22</v>
      </c>
      <c r="F6" s="63">
        <f t="shared" ref="F6:F56" si="0">SUM(G6:Y6)</f>
        <v>96630272.139999986</v>
      </c>
      <c r="G6" s="63"/>
      <c r="H6" s="63"/>
      <c r="I6" s="63"/>
      <c r="J6" s="63"/>
      <c r="K6" s="63">
        <v>11479091.68</v>
      </c>
      <c r="L6" s="63">
        <v>3572543.77</v>
      </c>
      <c r="M6" s="63"/>
      <c r="N6" s="63"/>
      <c r="O6" s="63">
        <v>483066.76</v>
      </c>
      <c r="P6" s="63"/>
      <c r="Q6" s="63"/>
      <c r="R6" s="63">
        <v>13541731.43</v>
      </c>
      <c r="S6" s="63"/>
      <c r="T6" s="63">
        <v>12413444.029999999</v>
      </c>
      <c r="U6" s="63">
        <f>27436365.11-6090000-3100000</f>
        <v>18246365.109999999</v>
      </c>
      <c r="V6" s="63">
        <v>15658817.550000001</v>
      </c>
      <c r="W6" s="63">
        <v>8315262.8799999999</v>
      </c>
      <c r="X6" s="63">
        <f>3729948.93+6090000</f>
        <v>9819948.9299999997</v>
      </c>
      <c r="Y6" s="63">
        <f>3100000</f>
        <v>3100000</v>
      </c>
      <c r="Z6" s="63">
        <v>81578636.709999993</v>
      </c>
      <c r="AA6" s="64">
        <f>F6-Z6</f>
        <v>15051635.429999992</v>
      </c>
    </row>
    <row r="7" spans="2:27" ht="15.75" x14ac:dyDescent="0.25">
      <c r="B7" s="60">
        <v>12</v>
      </c>
      <c r="C7" s="61">
        <v>1600</v>
      </c>
      <c r="D7" s="62" t="s">
        <v>33</v>
      </c>
      <c r="E7" s="63">
        <v>25919753.140000001</v>
      </c>
      <c r="F7" s="63">
        <f t="shared" si="0"/>
        <v>19126970.75</v>
      </c>
      <c r="G7" s="63"/>
      <c r="H7" s="63"/>
      <c r="I7" s="63"/>
      <c r="J7" s="63"/>
      <c r="K7" s="63">
        <v>4049994.74</v>
      </c>
      <c r="L7" s="63">
        <v>4356</v>
      </c>
      <c r="M7" s="63"/>
      <c r="N7" s="63"/>
      <c r="O7" s="63"/>
      <c r="P7" s="63"/>
      <c r="Q7" s="63"/>
      <c r="R7" s="63"/>
      <c r="S7" s="63">
        <v>3237175.44</v>
      </c>
      <c r="T7" s="63">
        <v>6991149.0999999996</v>
      </c>
      <c r="U7" s="63">
        <v>4356</v>
      </c>
      <c r="V7" s="63">
        <v>3816000.31</v>
      </c>
      <c r="W7" s="63">
        <v>806397.55</v>
      </c>
      <c r="X7" s="63">
        <v>217541.61</v>
      </c>
      <c r="Y7" s="63"/>
      <c r="Z7" s="63"/>
      <c r="AA7" s="64">
        <f t="shared" ref="AA7:AA14" si="1">F7-Z7</f>
        <v>19126970.75</v>
      </c>
    </row>
    <row r="8" spans="2:27" ht="31.5" x14ac:dyDescent="0.25">
      <c r="B8" s="60">
        <v>52</v>
      </c>
      <c r="C8" s="61">
        <v>100768</v>
      </c>
      <c r="D8" s="62" t="s">
        <v>34</v>
      </c>
      <c r="E8" s="63">
        <v>56075578.880000003</v>
      </c>
      <c r="F8" s="63">
        <f t="shared" si="0"/>
        <v>11529010.800000001</v>
      </c>
      <c r="G8" s="63"/>
      <c r="H8" s="63">
        <v>2194943.2000000002</v>
      </c>
      <c r="I8" s="63">
        <f>2898+2584201.21</f>
        <v>2587099.21</v>
      </c>
      <c r="J8" s="63"/>
      <c r="K8" s="63">
        <v>1717251.88</v>
      </c>
      <c r="L8" s="63">
        <v>6012</v>
      </c>
      <c r="M8" s="63">
        <v>1911435.95</v>
      </c>
      <c r="N8" s="63">
        <f>1822719.58+107218.8-53669.82</f>
        <v>1876268.56</v>
      </c>
      <c r="O8" s="63"/>
      <c r="P8" s="63"/>
      <c r="Q8" s="63"/>
      <c r="R8" s="63"/>
      <c r="S8" s="63"/>
      <c r="T8" s="63"/>
      <c r="U8" s="63"/>
      <c r="V8" s="63"/>
      <c r="W8" s="63"/>
      <c r="X8" s="63">
        <f>7326000-6090000</f>
        <v>1236000</v>
      </c>
      <c r="Y8" s="63"/>
      <c r="Z8" s="63"/>
      <c r="AA8" s="64">
        <f t="shared" si="1"/>
        <v>11529010.800000001</v>
      </c>
    </row>
    <row r="9" spans="2:27" ht="22.5" customHeight="1" x14ac:dyDescent="0.25">
      <c r="B9" s="60">
        <v>52</v>
      </c>
      <c r="C9" s="61">
        <v>101011</v>
      </c>
      <c r="D9" s="62" t="s">
        <v>35</v>
      </c>
      <c r="E9" s="63">
        <v>106577847.90000001</v>
      </c>
      <c r="F9" s="63">
        <f t="shared" si="0"/>
        <v>96162403.289999992</v>
      </c>
      <c r="G9" s="63">
        <f>64251+3920.4+8253856.25+455873.15</f>
        <v>8777900.8000000007</v>
      </c>
      <c r="H9" s="63">
        <v>37570.5</v>
      </c>
      <c r="I9" s="63">
        <f>19057.5+21562.2+277140.63+17480024.21</f>
        <v>17797784.539999999</v>
      </c>
      <c r="J9" s="63">
        <f>19057.5+2327600.29+14532950.21</f>
        <v>16879608</v>
      </c>
      <c r="K9" s="63">
        <v>7350.75</v>
      </c>
      <c r="L9" s="63">
        <v>8820.9</v>
      </c>
      <c r="M9" s="63">
        <f>19057.5+11037194.45</f>
        <v>11056251.949999999</v>
      </c>
      <c r="N9" s="63">
        <f>4465625.29-155311.38</f>
        <v>4310313.91</v>
      </c>
      <c r="O9" s="63"/>
      <c r="P9" s="63"/>
      <c r="Q9" s="63">
        <v>4410.46</v>
      </c>
      <c r="R9" s="63"/>
      <c r="S9" s="63"/>
      <c r="T9" s="63">
        <v>11162291.48</v>
      </c>
      <c r="U9" s="63"/>
      <c r="V9" s="63"/>
      <c r="W9" s="63"/>
      <c r="X9" s="63">
        <v>26120100</v>
      </c>
      <c r="Y9" s="63"/>
      <c r="Z9" s="63">
        <v>37054247.850000001</v>
      </c>
      <c r="AA9" s="64">
        <f t="shared" si="1"/>
        <v>59108155.43999999</v>
      </c>
    </row>
    <row r="10" spans="2:27" ht="22.5" customHeight="1" x14ac:dyDescent="0.25">
      <c r="B10" s="60">
        <v>50</v>
      </c>
      <c r="C10" s="61">
        <v>100913</v>
      </c>
      <c r="D10" s="62" t="s">
        <v>37</v>
      </c>
      <c r="E10" s="63">
        <v>186867763.41</v>
      </c>
      <c r="F10" s="63">
        <f t="shared" si="0"/>
        <v>145207492.47</v>
      </c>
      <c r="G10" s="63">
        <f>98010+9583.2</f>
        <v>107593.2</v>
      </c>
      <c r="H10" s="63">
        <v>15743425.52</v>
      </c>
      <c r="I10" s="63">
        <f>30511556.7+9583.2+98010</f>
        <v>30619149.899999999</v>
      </c>
      <c r="J10" s="63">
        <f>98010+9583.2</f>
        <v>107593.2</v>
      </c>
      <c r="K10" s="63">
        <v>24281840.899999999</v>
      </c>
      <c r="L10" s="63">
        <f>9583.2+114345</f>
        <v>123928.2</v>
      </c>
      <c r="M10" s="63">
        <f>38136570.76</f>
        <v>38136570.759999998</v>
      </c>
      <c r="N10" s="63">
        <f>30293637.38+1781978.67+9583.2-3743808.46</f>
        <v>28341390.789999995</v>
      </c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>
        <f>7315000+431000</f>
        <v>7746000</v>
      </c>
      <c r="Z10" s="63"/>
      <c r="AA10" s="64">
        <f t="shared" si="1"/>
        <v>145207492.47</v>
      </c>
    </row>
    <row r="11" spans="2:27" ht="31.5" x14ac:dyDescent="0.25">
      <c r="B11" s="60">
        <v>52</v>
      </c>
      <c r="C11" s="61">
        <v>100876</v>
      </c>
      <c r="D11" s="62" t="s">
        <v>39</v>
      </c>
      <c r="E11" s="63">
        <v>14059857.4</v>
      </c>
      <c r="F11" s="63">
        <f t="shared" si="0"/>
        <v>9485106.8000000007</v>
      </c>
      <c r="G11" s="63">
        <v>2289465.2000000002</v>
      </c>
      <c r="H11" s="63">
        <v>7744</v>
      </c>
      <c r="I11" s="63">
        <v>7744</v>
      </c>
      <c r="J11" s="63"/>
      <c r="K11" s="63">
        <f>7744+2944941.6</f>
        <v>2952685.6</v>
      </c>
      <c r="L11" s="63">
        <f>1001767.6</f>
        <v>1001767.6</v>
      </c>
      <c r="M11" s="63">
        <v>7744</v>
      </c>
      <c r="N11" s="63"/>
      <c r="O11" s="63">
        <v>7744</v>
      </c>
      <c r="P11" s="63">
        <f>827852.4+7744</f>
        <v>835596.4</v>
      </c>
      <c r="Q11" s="63"/>
      <c r="R11" s="63">
        <f>7744+2359128</f>
        <v>2366872</v>
      </c>
      <c r="S11" s="63">
        <v>7744</v>
      </c>
      <c r="T11" s="63"/>
      <c r="U11" s="63"/>
      <c r="V11" s="63"/>
      <c r="W11" s="63"/>
      <c r="X11" s="63"/>
      <c r="Y11" s="63"/>
      <c r="Z11" s="63"/>
      <c r="AA11" s="64">
        <f t="shared" si="1"/>
        <v>9485106.8000000007</v>
      </c>
    </row>
    <row r="12" spans="2:27" ht="31.5" x14ac:dyDescent="0.25">
      <c r="B12" s="65">
        <v>19</v>
      </c>
      <c r="C12" s="66">
        <v>1160</v>
      </c>
      <c r="D12" s="67" t="s">
        <v>74</v>
      </c>
      <c r="E12" s="68">
        <v>3033505.38</v>
      </c>
      <c r="F12" s="63">
        <f t="shared" si="0"/>
        <v>963699.3</v>
      </c>
      <c r="G12" s="68"/>
      <c r="H12" s="68"/>
      <c r="I12" s="68"/>
      <c r="J12" s="68"/>
      <c r="K12" s="68"/>
      <c r="L12" s="68"/>
      <c r="M12" s="68">
        <v>457598.7</v>
      </c>
      <c r="N12" s="68"/>
      <c r="O12" s="68"/>
      <c r="P12" s="68"/>
      <c r="Q12" s="68"/>
      <c r="R12" s="68">
        <v>506100.6</v>
      </c>
      <c r="S12" s="68"/>
      <c r="T12" s="68"/>
      <c r="U12" s="68"/>
      <c r="V12" s="68"/>
      <c r="W12" s="68"/>
      <c r="X12" s="68"/>
      <c r="Y12" s="68"/>
      <c r="Z12" s="68"/>
      <c r="AA12" s="69">
        <f t="shared" si="1"/>
        <v>963699.3</v>
      </c>
    </row>
    <row r="13" spans="2:27" ht="31.5" x14ac:dyDescent="0.25">
      <c r="B13" s="60">
        <v>52</v>
      </c>
      <c r="C13" s="61">
        <v>101131</v>
      </c>
      <c r="D13" s="62" t="s">
        <v>48</v>
      </c>
      <c r="E13" s="63">
        <v>6600154.5</v>
      </c>
      <c r="F13" s="63">
        <f>SUM(G13:Y13)</f>
        <v>3620100.3899999997</v>
      </c>
      <c r="G13" s="68">
        <f>1818431.56+28800</f>
        <v>1847231.56</v>
      </c>
      <c r="H13" s="68"/>
      <c r="I13" s="68">
        <v>1534698.28</v>
      </c>
      <c r="J13" s="68">
        <v>226408.02</v>
      </c>
      <c r="K13" s="68"/>
      <c r="L13" s="68"/>
      <c r="M13" s="68"/>
      <c r="N13" s="68"/>
      <c r="O13" s="68"/>
      <c r="P13" s="68"/>
      <c r="Q13" s="63">
        <v>11762.53</v>
      </c>
      <c r="R13" s="63"/>
      <c r="S13" s="63"/>
      <c r="T13" s="63"/>
      <c r="U13" s="63"/>
      <c r="V13" s="63"/>
      <c r="W13" s="63"/>
      <c r="X13" s="63"/>
      <c r="Y13" s="63"/>
      <c r="Z13" s="63"/>
      <c r="AA13" s="69">
        <f t="shared" si="1"/>
        <v>3620100.3899999997</v>
      </c>
    </row>
    <row r="14" spans="2:27" ht="31.5" customHeight="1" x14ac:dyDescent="0.25">
      <c r="B14" s="65">
        <v>52</v>
      </c>
      <c r="C14" s="66">
        <v>101256</v>
      </c>
      <c r="D14" s="67" t="s">
        <v>49</v>
      </c>
      <c r="E14" s="68">
        <v>655578</v>
      </c>
      <c r="F14" s="63">
        <f t="shared" si="0"/>
        <v>655578</v>
      </c>
      <c r="G14" s="68"/>
      <c r="H14" s="68"/>
      <c r="I14" s="68">
        <f>1036620.14-382246.14</f>
        <v>654374</v>
      </c>
      <c r="J14" s="68"/>
      <c r="K14" s="68"/>
      <c r="L14" s="68"/>
      <c r="M14" s="68"/>
      <c r="N14" s="68"/>
      <c r="O14" s="68"/>
      <c r="P14" s="68"/>
      <c r="Q14" s="68">
        <v>1204</v>
      </c>
      <c r="R14" s="68"/>
      <c r="S14" s="68"/>
      <c r="T14" s="68"/>
      <c r="U14" s="68"/>
      <c r="V14" s="68"/>
      <c r="W14" s="68"/>
      <c r="X14" s="68"/>
      <c r="Y14" s="68"/>
      <c r="Z14" s="68"/>
      <c r="AA14" s="69">
        <f t="shared" si="1"/>
        <v>655578</v>
      </c>
    </row>
    <row r="15" spans="2:27" ht="15.75" x14ac:dyDescent="0.25">
      <c r="B15" s="65">
        <v>52</v>
      </c>
      <c r="C15" s="66">
        <v>101019</v>
      </c>
      <c r="D15" s="67" t="s">
        <v>51</v>
      </c>
      <c r="E15" s="68">
        <v>4174276</v>
      </c>
      <c r="F15" s="63">
        <f t="shared" si="0"/>
        <v>14520</v>
      </c>
      <c r="G15" s="68"/>
      <c r="H15" s="68"/>
      <c r="I15" s="68"/>
      <c r="J15" s="68"/>
      <c r="K15" s="68"/>
      <c r="L15" s="68"/>
      <c r="M15" s="68"/>
      <c r="N15" s="68"/>
      <c r="O15" s="68"/>
      <c r="P15" s="68">
        <v>14520</v>
      </c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9">
        <f>F15-Z15</f>
        <v>14520</v>
      </c>
    </row>
    <row r="16" spans="2:27" ht="31.5" x14ac:dyDescent="0.25">
      <c r="B16" s="60">
        <v>52</v>
      </c>
      <c r="C16" s="61">
        <v>101141</v>
      </c>
      <c r="D16" s="62" t="s">
        <v>52</v>
      </c>
      <c r="E16" s="63">
        <v>5837078.4000000004</v>
      </c>
      <c r="F16" s="63">
        <f t="shared" si="0"/>
        <v>4425026.3199999994</v>
      </c>
      <c r="G16" s="63"/>
      <c r="H16" s="63">
        <f>3840+1728282.44</f>
        <v>1732122.44</v>
      </c>
      <c r="I16" s="63">
        <f>3840+1685476.96+168136.57</f>
        <v>1857453.53</v>
      </c>
      <c r="J16" s="63"/>
      <c r="K16" s="63">
        <f>5760+800650.35</f>
        <v>806410.35</v>
      </c>
      <c r="L16" s="63">
        <v>17424</v>
      </c>
      <c r="M16" s="63"/>
      <c r="N16" s="63"/>
      <c r="O16" s="63"/>
      <c r="P16" s="63">
        <v>11616</v>
      </c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9">
        <f t="shared" ref="AA16:AA18" si="2">F16-Z16</f>
        <v>4425026.3199999994</v>
      </c>
    </row>
    <row r="17" spans="2:27" ht="31.5" x14ac:dyDescent="0.25">
      <c r="B17" s="60">
        <v>52</v>
      </c>
      <c r="C17" s="61">
        <v>101257</v>
      </c>
      <c r="D17" s="62" t="s">
        <v>54</v>
      </c>
      <c r="E17" s="63">
        <v>677938.8</v>
      </c>
      <c r="F17" s="63">
        <f t="shared" si="0"/>
        <v>7709.8</v>
      </c>
      <c r="G17" s="63"/>
      <c r="H17" s="63"/>
      <c r="I17" s="63">
        <v>4625.6000000000004</v>
      </c>
      <c r="J17" s="63"/>
      <c r="K17" s="63"/>
      <c r="L17" s="63"/>
      <c r="M17" s="63"/>
      <c r="N17" s="63"/>
      <c r="O17" s="63"/>
      <c r="P17" s="63">
        <v>3084.2</v>
      </c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9">
        <f t="shared" si="2"/>
        <v>7709.8</v>
      </c>
    </row>
    <row r="18" spans="2:27" ht="31.5" x14ac:dyDescent="0.25">
      <c r="B18" s="60">
        <v>52</v>
      </c>
      <c r="C18" s="61">
        <v>101088</v>
      </c>
      <c r="D18" s="62" t="s">
        <v>53</v>
      </c>
      <c r="E18" s="63">
        <v>1881943.2</v>
      </c>
      <c r="F18" s="63">
        <f t="shared" si="0"/>
        <v>496125.89999999997</v>
      </c>
      <c r="G18" s="63">
        <v>471491.5</v>
      </c>
      <c r="H18" s="63"/>
      <c r="I18" s="63">
        <v>14780.8</v>
      </c>
      <c r="J18" s="63"/>
      <c r="K18" s="63"/>
      <c r="L18" s="63"/>
      <c r="M18" s="63"/>
      <c r="N18" s="63"/>
      <c r="O18" s="63"/>
      <c r="P18" s="63">
        <v>9853.6</v>
      </c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9">
        <f t="shared" si="2"/>
        <v>496125.89999999997</v>
      </c>
    </row>
    <row r="19" spans="2:27" ht="31.5" x14ac:dyDescent="0.25">
      <c r="B19" s="65">
        <v>19</v>
      </c>
      <c r="C19" s="66">
        <v>1128</v>
      </c>
      <c r="D19" s="67" t="s">
        <v>56</v>
      </c>
      <c r="E19" s="68">
        <v>2367129.3199999998</v>
      </c>
      <c r="F19" s="63">
        <f t="shared" si="0"/>
        <v>19602</v>
      </c>
      <c r="G19" s="68"/>
      <c r="H19" s="68"/>
      <c r="I19" s="68"/>
      <c r="J19" s="68"/>
      <c r="K19" s="68"/>
      <c r="L19" s="68"/>
      <c r="M19" s="68"/>
      <c r="N19" s="68"/>
      <c r="O19" s="68"/>
      <c r="P19" s="68">
        <v>19602</v>
      </c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9">
        <f>F19-Z19</f>
        <v>19602</v>
      </c>
    </row>
    <row r="20" spans="2:27" ht="31.5" x14ac:dyDescent="0.25">
      <c r="B20" s="60">
        <v>52</v>
      </c>
      <c r="C20" s="61">
        <v>101022</v>
      </c>
      <c r="D20" s="62" t="s">
        <v>60</v>
      </c>
      <c r="E20" s="63">
        <v>8717805.1999999993</v>
      </c>
      <c r="F20" s="63">
        <f t="shared" si="0"/>
        <v>25578.43</v>
      </c>
      <c r="G20" s="68"/>
      <c r="H20" s="68"/>
      <c r="I20" s="68"/>
      <c r="J20" s="68">
        <v>15347.06</v>
      </c>
      <c r="K20" s="68"/>
      <c r="L20" s="68"/>
      <c r="M20" s="68"/>
      <c r="N20" s="63">
        <v>10231.370000000001</v>
      </c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9">
        <f t="shared" ref="AA20:AA33" si="3">F20-Z20</f>
        <v>25578.43</v>
      </c>
    </row>
    <row r="21" spans="2:27" ht="31.5" x14ac:dyDescent="0.25">
      <c r="B21" s="65">
        <v>52</v>
      </c>
      <c r="C21" s="66">
        <v>101253</v>
      </c>
      <c r="D21" s="67" t="s">
        <v>61</v>
      </c>
      <c r="E21" s="68">
        <v>7376897.5</v>
      </c>
      <c r="F21" s="63">
        <f t="shared" si="0"/>
        <v>12752.43</v>
      </c>
      <c r="G21" s="68"/>
      <c r="H21" s="68"/>
      <c r="I21" s="68"/>
      <c r="J21" s="68">
        <v>7651.46</v>
      </c>
      <c r="K21" s="68"/>
      <c r="L21" s="68"/>
      <c r="M21" s="68"/>
      <c r="N21" s="68">
        <v>5100.97</v>
      </c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9">
        <f t="shared" si="3"/>
        <v>12752.43</v>
      </c>
    </row>
    <row r="22" spans="2:27" ht="31.5" x14ac:dyDescent="0.25">
      <c r="B22" s="60">
        <v>19</v>
      </c>
      <c r="C22" s="61">
        <v>1216</v>
      </c>
      <c r="D22" s="62" t="s">
        <v>62</v>
      </c>
      <c r="E22" s="63">
        <v>3207794.19</v>
      </c>
      <c r="F22" s="63">
        <f t="shared" si="0"/>
        <v>10890</v>
      </c>
      <c r="G22" s="63"/>
      <c r="H22" s="63"/>
      <c r="I22" s="63"/>
      <c r="J22" s="63"/>
      <c r="K22" s="63"/>
      <c r="L22" s="63"/>
      <c r="M22" s="63"/>
      <c r="N22" s="63">
        <v>10890</v>
      </c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4">
        <f t="shared" si="3"/>
        <v>10890</v>
      </c>
    </row>
    <row r="23" spans="2:27" ht="15.75" x14ac:dyDescent="0.25">
      <c r="B23" s="65">
        <v>59</v>
      </c>
      <c r="C23" s="66">
        <v>101135</v>
      </c>
      <c r="D23" s="67" t="s">
        <v>63</v>
      </c>
      <c r="E23" s="68">
        <v>25154862.300000001</v>
      </c>
      <c r="F23" s="63">
        <f t="shared" si="0"/>
        <v>1742400</v>
      </c>
      <c r="G23" s="68"/>
      <c r="H23" s="68"/>
      <c r="I23" s="68"/>
      <c r="J23" s="68"/>
      <c r="K23" s="68"/>
      <c r="L23" s="68"/>
      <c r="M23" s="68"/>
      <c r="N23" s="68">
        <f>96800+1645600</f>
        <v>1742400</v>
      </c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9">
        <f t="shared" si="3"/>
        <v>1742400</v>
      </c>
    </row>
    <row r="24" spans="2:27" ht="15.75" x14ac:dyDescent="0.25">
      <c r="B24" s="60">
        <v>52</v>
      </c>
      <c r="C24" s="61">
        <v>101139</v>
      </c>
      <c r="D24" s="62" t="s">
        <v>64</v>
      </c>
      <c r="E24" s="63">
        <v>9166485.5999999996</v>
      </c>
      <c r="F24" s="63">
        <f t="shared" si="0"/>
        <v>2273093.6199999996</v>
      </c>
      <c r="G24" s="63"/>
      <c r="H24" s="63"/>
      <c r="I24" s="63"/>
      <c r="J24" s="63">
        <v>701231.24</v>
      </c>
      <c r="K24" s="63">
        <v>1091457.3899999999</v>
      </c>
      <c r="L24" s="63">
        <v>5092.2</v>
      </c>
      <c r="M24" s="63">
        <v>427798.52</v>
      </c>
      <c r="N24" s="63">
        <f>44874.59+2639.68</f>
        <v>47514.27</v>
      </c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4">
        <f t="shared" si="3"/>
        <v>2273093.6199999996</v>
      </c>
    </row>
    <row r="25" spans="2:27" ht="31.5" x14ac:dyDescent="0.25">
      <c r="B25" s="65">
        <v>52</v>
      </c>
      <c r="C25" s="66">
        <v>101152</v>
      </c>
      <c r="D25" s="67" t="s">
        <v>65</v>
      </c>
      <c r="E25" s="68">
        <v>22320370.449999999</v>
      </c>
      <c r="F25" s="63">
        <f t="shared" si="0"/>
        <v>6882320.0600000005</v>
      </c>
      <c r="G25" s="68">
        <v>20691</v>
      </c>
      <c r="H25" s="68">
        <v>940322.64</v>
      </c>
      <c r="I25" s="68">
        <f>20691+1446397.62</f>
        <v>1467088.62</v>
      </c>
      <c r="J25" s="68">
        <v>20691</v>
      </c>
      <c r="K25" s="68">
        <v>1089444.99</v>
      </c>
      <c r="L25" s="68">
        <v>4602.6000000000004</v>
      </c>
      <c r="M25" s="68">
        <f>31581+2740306.31</f>
        <v>2771887.31</v>
      </c>
      <c r="N25" s="68">
        <v>567591.9</v>
      </c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9">
        <f t="shared" si="3"/>
        <v>6882320.0600000005</v>
      </c>
    </row>
    <row r="26" spans="2:27" ht="31.5" x14ac:dyDescent="0.25">
      <c r="B26" s="65">
        <v>52</v>
      </c>
      <c r="C26" s="66">
        <v>101251</v>
      </c>
      <c r="D26" s="67" t="s">
        <v>66</v>
      </c>
      <c r="E26" s="68">
        <v>8148556.5</v>
      </c>
      <c r="F26" s="63">
        <f t="shared" si="0"/>
        <v>15029</v>
      </c>
      <c r="G26" s="68">
        <v>8349.6</v>
      </c>
      <c r="H26" s="68"/>
      <c r="I26" s="68"/>
      <c r="J26" s="68"/>
      <c r="K26" s="68"/>
      <c r="L26" s="68"/>
      <c r="M26" s="68"/>
      <c r="N26" s="68">
        <v>6679.4</v>
      </c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9">
        <f t="shared" si="3"/>
        <v>15029</v>
      </c>
    </row>
    <row r="27" spans="2:27" ht="31.5" x14ac:dyDescent="0.25">
      <c r="B27" s="65">
        <v>52</v>
      </c>
      <c r="C27" s="66">
        <v>101113</v>
      </c>
      <c r="D27" s="67" t="s">
        <v>67</v>
      </c>
      <c r="E27" s="68">
        <v>7222500.7999999998</v>
      </c>
      <c r="F27" s="63">
        <f t="shared" si="0"/>
        <v>17548</v>
      </c>
      <c r="G27" s="68">
        <v>9748.7999999999993</v>
      </c>
      <c r="H27" s="68"/>
      <c r="I27" s="68"/>
      <c r="J27" s="68"/>
      <c r="K27" s="68"/>
      <c r="L27" s="68"/>
      <c r="M27" s="68"/>
      <c r="N27" s="68">
        <v>7799.2</v>
      </c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9">
        <f t="shared" si="3"/>
        <v>17548</v>
      </c>
    </row>
    <row r="28" spans="2:27" ht="32.25" thickBot="1" x14ac:dyDescent="0.3">
      <c r="B28" s="70">
        <v>52</v>
      </c>
      <c r="C28" s="71">
        <v>101255</v>
      </c>
      <c r="D28" s="72" t="s">
        <v>68</v>
      </c>
      <c r="E28" s="73">
        <v>8159082.4000000004</v>
      </c>
      <c r="F28" s="73">
        <f t="shared" si="0"/>
        <v>15303.400000000001</v>
      </c>
      <c r="G28" s="73">
        <v>8502.2000000000007</v>
      </c>
      <c r="H28" s="73"/>
      <c r="I28" s="73"/>
      <c r="J28" s="73"/>
      <c r="K28" s="73"/>
      <c r="L28" s="73"/>
      <c r="M28" s="73"/>
      <c r="N28" s="73">
        <v>6801.2</v>
      </c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4">
        <f t="shared" si="3"/>
        <v>15303.400000000001</v>
      </c>
    </row>
    <row r="29" spans="2:27" ht="32.25" thickTop="1" x14ac:dyDescent="0.25">
      <c r="B29" s="75">
        <v>52</v>
      </c>
      <c r="C29" s="76">
        <v>101130</v>
      </c>
      <c r="D29" s="77" t="s">
        <v>69</v>
      </c>
      <c r="E29" s="78">
        <v>9140694.5</v>
      </c>
      <c r="F29" s="80">
        <f t="shared" si="0"/>
        <v>21739</v>
      </c>
      <c r="G29" s="78">
        <v>12077</v>
      </c>
      <c r="H29" s="78"/>
      <c r="I29" s="78"/>
      <c r="J29" s="78"/>
      <c r="K29" s="78"/>
      <c r="L29" s="78"/>
      <c r="M29" s="78"/>
      <c r="N29" s="78">
        <v>9662</v>
      </c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9">
        <f t="shared" si="3"/>
        <v>21739</v>
      </c>
    </row>
    <row r="30" spans="2:27" ht="15.75" x14ac:dyDescent="0.25">
      <c r="B30" s="65">
        <v>12</v>
      </c>
      <c r="C30" s="66">
        <v>1600</v>
      </c>
      <c r="D30" s="67" t="s">
        <v>70</v>
      </c>
      <c r="E30" s="68">
        <v>148836202.09999999</v>
      </c>
      <c r="F30" s="63">
        <f t="shared" si="0"/>
        <v>35403642.129999995</v>
      </c>
      <c r="G30" s="68"/>
      <c r="H30" s="68"/>
      <c r="I30" s="68"/>
      <c r="J30" s="68"/>
      <c r="K30" s="68"/>
      <c r="L30" s="68">
        <f>44745.3+17404837.93+9855.9</f>
        <v>17459439.129999999</v>
      </c>
      <c r="M30" s="68"/>
      <c r="N30" s="68">
        <v>17944203</v>
      </c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9">
        <f t="shared" si="3"/>
        <v>35403642.129999995</v>
      </c>
    </row>
    <row r="31" spans="2:27" ht="31.5" x14ac:dyDescent="0.25">
      <c r="B31" s="65">
        <v>19</v>
      </c>
      <c r="C31" s="66">
        <v>1204</v>
      </c>
      <c r="D31" s="67" t="s">
        <v>90</v>
      </c>
      <c r="E31" s="68">
        <v>1814555.22</v>
      </c>
      <c r="F31" s="63">
        <f t="shared" si="0"/>
        <v>1726955.35</v>
      </c>
      <c r="G31" s="68"/>
      <c r="H31" s="68"/>
      <c r="I31" s="68"/>
      <c r="J31" s="68">
        <v>4793.2299999999996</v>
      </c>
      <c r="K31" s="68"/>
      <c r="L31" s="68"/>
      <c r="M31" s="68">
        <f>1502273.87</f>
        <v>1502273.87</v>
      </c>
      <c r="N31" s="68">
        <v>219888.25</v>
      </c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9">
        <f t="shared" si="3"/>
        <v>1726955.35</v>
      </c>
    </row>
    <row r="32" spans="2:27" ht="15.75" x14ac:dyDescent="0.25">
      <c r="B32" s="65">
        <v>50</v>
      </c>
      <c r="C32" s="66">
        <v>100920</v>
      </c>
      <c r="D32" s="67" t="s">
        <v>71</v>
      </c>
      <c r="E32" s="68">
        <v>80176109.400000006</v>
      </c>
      <c r="F32" s="63">
        <f t="shared" si="0"/>
        <v>9691150.4199999999</v>
      </c>
      <c r="G32" s="68">
        <f>9531720.82+21954.24+11325.6+39029.76</f>
        <v>9604030.4199999999</v>
      </c>
      <c r="H32" s="68"/>
      <c r="I32" s="68"/>
      <c r="J32" s="68"/>
      <c r="K32" s="68">
        <v>52272</v>
      </c>
      <c r="L32" s="68"/>
      <c r="M32" s="68"/>
      <c r="N32" s="68">
        <v>34848</v>
      </c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9">
        <f t="shared" si="3"/>
        <v>9691150.4199999999</v>
      </c>
    </row>
    <row r="33" spans="2:27" ht="63" x14ac:dyDescent="0.25">
      <c r="B33" s="65">
        <v>59</v>
      </c>
      <c r="C33" s="66">
        <v>101157</v>
      </c>
      <c r="D33" s="67" t="s">
        <v>75</v>
      </c>
      <c r="E33" s="68">
        <v>16521356.92</v>
      </c>
      <c r="F33" s="63">
        <f t="shared" si="0"/>
        <v>2019825.2999999998</v>
      </c>
      <c r="G33" s="68"/>
      <c r="H33" s="68">
        <f>245922.85+14466.05+1269112.05+74653.65+19582.6+1151.9</f>
        <v>1624889.0999999999</v>
      </c>
      <c r="I33" s="68"/>
      <c r="J33" s="68"/>
      <c r="K33" s="68">
        <f>256535.95+15090.35</f>
        <v>271626.3</v>
      </c>
      <c r="L33" s="68"/>
      <c r="M33" s="68">
        <f>116459.35+6850.55</f>
        <v>123309.90000000001</v>
      </c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9">
        <f t="shared" si="3"/>
        <v>2019825.2999999998</v>
      </c>
    </row>
    <row r="34" spans="2:27" ht="31.5" x14ac:dyDescent="0.25">
      <c r="B34" s="65">
        <v>19</v>
      </c>
      <c r="C34" s="66">
        <v>1208</v>
      </c>
      <c r="D34" s="67" t="s">
        <v>73</v>
      </c>
      <c r="E34" s="68">
        <v>2790000</v>
      </c>
      <c r="F34" s="63">
        <f t="shared" si="0"/>
        <v>1847220.23</v>
      </c>
      <c r="G34" s="68"/>
      <c r="H34" s="68"/>
      <c r="I34" s="68"/>
      <c r="J34" s="68"/>
      <c r="K34" s="68">
        <v>1482639.27</v>
      </c>
      <c r="L34" s="68"/>
      <c r="M34" s="68">
        <v>364580.96</v>
      </c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9">
        <f>F34-Z34</f>
        <v>1847220.23</v>
      </c>
    </row>
    <row r="35" spans="2:27" ht="15.75" x14ac:dyDescent="0.25">
      <c r="B35" s="60">
        <v>12</v>
      </c>
      <c r="C35" s="61">
        <v>1600</v>
      </c>
      <c r="D35" s="62" t="s">
        <v>76</v>
      </c>
      <c r="E35" s="63">
        <v>32403507.600000001</v>
      </c>
      <c r="F35" s="63">
        <f t="shared" si="0"/>
        <v>1776558.39</v>
      </c>
      <c r="G35" s="63"/>
      <c r="H35" s="63"/>
      <c r="I35" s="63"/>
      <c r="J35" s="63"/>
      <c r="K35" s="63">
        <v>14033.92</v>
      </c>
      <c r="L35" s="63">
        <v>1762524.47</v>
      </c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4">
        <f>F35-Z35</f>
        <v>1776558.39</v>
      </c>
    </row>
    <row r="36" spans="2:27" ht="31.5" x14ac:dyDescent="0.25">
      <c r="B36" s="60">
        <v>19</v>
      </c>
      <c r="C36" s="61">
        <v>1106</v>
      </c>
      <c r="D36" s="62" t="s">
        <v>77</v>
      </c>
      <c r="E36" s="63">
        <v>4107684.97</v>
      </c>
      <c r="F36" s="63">
        <f t="shared" si="0"/>
        <v>810821.7</v>
      </c>
      <c r="G36" s="63"/>
      <c r="H36" s="63">
        <v>412731</v>
      </c>
      <c r="I36" s="63">
        <v>387200.7</v>
      </c>
      <c r="J36" s="63"/>
      <c r="K36" s="63"/>
      <c r="L36" s="63">
        <v>10890</v>
      </c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4">
        <f t="shared" ref="AA36:AA46" si="4">F36-Z36</f>
        <v>810821.7</v>
      </c>
    </row>
    <row r="37" spans="2:27" ht="47.25" x14ac:dyDescent="0.25">
      <c r="B37" s="65">
        <v>19</v>
      </c>
      <c r="C37" s="66">
        <v>1205</v>
      </c>
      <c r="D37" s="67" t="s">
        <v>78</v>
      </c>
      <c r="E37" s="68">
        <v>3356943.54</v>
      </c>
      <c r="F37" s="63">
        <f t="shared" si="0"/>
        <v>438834.6</v>
      </c>
      <c r="G37" s="68"/>
      <c r="H37" s="68">
        <v>27225</v>
      </c>
      <c r="I37" s="68"/>
      <c r="J37" s="68"/>
      <c r="K37" s="68"/>
      <c r="L37" s="68">
        <v>411609.59999999998</v>
      </c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9">
        <f t="shared" si="4"/>
        <v>438834.6</v>
      </c>
    </row>
    <row r="38" spans="2:27" ht="31.5" x14ac:dyDescent="0.25">
      <c r="B38" s="65">
        <v>59</v>
      </c>
      <c r="C38" s="66">
        <v>101156</v>
      </c>
      <c r="D38" s="67" t="s">
        <v>81</v>
      </c>
      <c r="E38" s="68">
        <v>12895764.300000001</v>
      </c>
      <c r="F38" s="63">
        <f t="shared" si="0"/>
        <v>2795882.4</v>
      </c>
      <c r="G38" s="68">
        <f>112679.2+1915546.4+4385+74545</f>
        <v>2107155.5999999996</v>
      </c>
      <c r="H38" s="68">
        <f>1197.9+20364.3</f>
        <v>21562.2</v>
      </c>
      <c r="I38" s="68"/>
      <c r="J38" s="68">
        <v>283959</v>
      </c>
      <c r="K38" s="68">
        <v>383205.6</v>
      </c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9">
        <f t="shared" si="4"/>
        <v>2795882.4</v>
      </c>
    </row>
    <row r="39" spans="2:27" ht="31.5" x14ac:dyDescent="0.25">
      <c r="B39" s="65">
        <v>19</v>
      </c>
      <c r="C39" s="66">
        <v>1142</v>
      </c>
      <c r="D39" s="67" t="s">
        <v>82</v>
      </c>
      <c r="E39" s="68">
        <v>4365000</v>
      </c>
      <c r="F39" s="63">
        <f t="shared" si="0"/>
        <v>371658.6</v>
      </c>
      <c r="G39" s="68"/>
      <c r="H39" s="68"/>
      <c r="I39" s="68"/>
      <c r="J39" s="68"/>
      <c r="K39" s="68">
        <v>371658.6</v>
      </c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9">
        <f t="shared" si="4"/>
        <v>371658.6</v>
      </c>
    </row>
    <row r="40" spans="2:27" ht="24.95" customHeight="1" x14ac:dyDescent="0.25">
      <c r="B40" s="103">
        <v>52</v>
      </c>
      <c r="C40" s="66">
        <v>101050</v>
      </c>
      <c r="D40" s="101" t="s">
        <v>83</v>
      </c>
      <c r="E40" s="105">
        <v>6250335.1500000004</v>
      </c>
      <c r="F40" s="105">
        <f>SUM(G41:Y41)+SUM(G40:Y40)</f>
        <v>3262756.4</v>
      </c>
      <c r="G40" s="68">
        <f>3280+1017982.4+444381.6</f>
        <v>1465644</v>
      </c>
      <c r="H40" s="68"/>
      <c r="I40" s="68">
        <f>1235620+7200</f>
        <v>1242820</v>
      </c>
      <c r="J40" s="68"/>
      <c r="K40" s="68">
        <f>544272.4+7200</f>
        <v>551472.4</v>
      </c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107">
        <f>F40-Z40-Z41</f>
        <v>3262756.4</v>
      </c>
    </row>
    <row r="41" spans="2:27" ht="24.95" customHeight="1" x14ac:dyDescent="0.25">
      <c r="B41" s="104"/>
      <c r="C41" s="100">
        <v>100700</v>
      </c>
      <c r="D41" s="102"/>
      <c r="E41" s="106"/>
      <c r="F41" s="106"/>
      <c r="G41" s="99">
        <v>2820</v>
      </c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108"/>
    </row>
    <row r="42" spans="2:27" ht="15.75" x14ac:dyDescent="0.25">
      <c r="B42" s="65">
        <v>19</v>
      </c>
      <c r="C42" s="66">
        <v>1136</v>
      </c>
      <c r="D42" s="67" t="s">
        <v>84</v>
      </c>
      <c r="E42" s="68">
        <v>3135292.13</v>
      </c>
      <c r="F42" s="63">
        <f t="shared" si="0"/>
        <v>73079.28</v>
      </c>
      <c r="G42" s="68"/>
      <c r="H42" s="68"/>
      <c r="I42" s="68"/>
      <c r="J42" s="68">
        <v>10890</v>
      </c>
      <c r="K42" s="68">
        <v>62189.279999999999</v>
      </c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9">
        <f t="shared" si="4"/>
        <v>73079.28</v>
      </c>
    </row>
    <row r="43" spans="2:27" ht="15.75" x14ac:dyDescent="0.25">
      <c r="B43" s="65">
        <v>19</v>
      </c>
      <c r="C43" s="66">
        <v>1108</v>
      </c>
      <c r="D43" s="67" t="s">
        <v>85</v>
      </c>
      <c r="E43" s="68">
        <v>4005925.58</v>
      </c>
      <c r="F43" s="63">
        <f t="shared" si="0"/>
        <v>98225.16</v>
      </c>
      <c r="G43" s="68"/>
      <c r="H43" s="68"/>
      <c r="I43" s="68">
        <v>87335.16</v>
      </c>
      <c r="J43" s="68"/>
      <c r="K43" s="68">
        <v>10890</v>
      </c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9">
        <f t="shared" si="4"/>
        <v>98225.16</v>
      </c>
    </row>
    <row r="44" spans="2:27" ht="31.5" x14ac:dyDescent="0.25">
      <c r="B44" s="65">
        <v>59</v>
      </c>
      <c r="C44" s="66">
        <v>101154</v>
      </c>
      <c r="D44" s="67" t="s">
        <v>87</v>
      </c>
      <c r="E44" s="68">
        <v>10434308.4</v>
      </c>
      <c r="F44" s="63">
        <f t="shared" si="0"/>
        <v>1742.3999999999999</v>
      </c>
      <c r="G44" s="68"/>
      <c r="H44" s="68"/>
      <c r="I44" s="68">
        <f>822.8+48.4</f>
        <v>871.19999999999993</v>
      </c>
      <c r="J44" s="68">
        <f>822.8+48.4</f>
        <v>871.19999999999993</v>
      </c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9">
        <f t="shared" si="4"/>
        <v>1742.3999999999999</v>
      </c>
    </row>
    <row r="45" spans="2:27" ht="31.5" x14ac:dyDescent="0.25">
      <c r="B45" s="65">
        <v>19</v>
      </c>
      <c r="C45" s="66">
        <v>1112</v>
      </c>
      <c r="D45" s="67" t="s">
        <v>88</v>
      </c>
      <c r="E45" s="68">
        <v>3558912.48</v>
      </c>
      <c r="F45" s="63">
        <f t="shared" si="0"/>
        <v>708473.7</v>
      </c>
      <c r="G45" s="68"/>
      <c r="H45" s="68">
        <v>686693.7</v>
      </c>
      <c r="I45" s="68"/>
      <c r="J45" s="68">
        <v>21780</v>
      </c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9">
        <f t="shared" si="4"/>
        <v>708473.7</v>
      </c>
    </row>
    <row r="46" spans="2:27" ht="15.75" x14ac:dyDescent="0.25">
      <c r="B46" s="65">
        <v>19</v>
      </c>
      <c r="C46" s="66">
        <v>1208</v>
      </c>
      <c r="D46" s="67" t="s">
        <v>89</v>
      </c>
      <c r="E46" s="68">
        <v>2784542.4</v>
      </c>
      <c r="F46" s="63">
        <f t="shared" si="0"/>
        <v>2645616.6</v>
      </c>
      <c r="G46" s="68"/>
      <c r="H46" s="68"/>
      <c r="I46" s="68">
        <v>1007216.1</v>
      </c>
      <c r="J46" s="68">
        <v>1638400.5</v>
      </c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9">
        <f t="shared" si="4"/>
        <v>2645616.6</v>
      </c>
    </row>
    <row r="47" spans="2:27" ht="31.5" x14ac:dyDescent="0.25">
      <c r="B47" s="65">
        <v>52</v>
      </c>
      <c r="C47" s="66">
        <v>101144</v>
      </c>
      <c r="D47" s="67" t="s">
        <v>92</v>
      </c>
      <c r="E47" s="68">
        <v>7931955.2999999998</v>
      </c>
      <c r="F47" s="63">
        <f t="shared" si="0"/>
        <v>507709.22</v>
      </c>
      <c r="G47" s="68"/>
      <c r="H47" s="68">
        <v>290705.71999999997</v>
      </c>
      <c r="I47" s="68">
        <v>217003.5</v>
      </c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9">
        <f t="shared" ref="AA47:AA55" si="5">F47-Z47</f>
        <v>507709.22</v>
      </c>
    </row>
    <row r="48" spans="2:27" ht="47.25" x14ac:dyDescent="0.25">
      <c r="B48" s="65">
        <v>19</v>
      </c>
      <c r="C48" s="66">
        <v>1133</v>
      </c>
      <c r="D48" s="67" t="s">
        <v>93</v>
      </c>
      <c r="E48" s="68">
        <v>4231605.5999999996</v>
      </c>
      <c r="F48" s="63">
        <f t="shared" si="0"/>
        <v>930922.2</v>
      </c>
      <c r="G48" s="68"/>
      <c r="H48" s="68"/>
      <c r="I48" s="68">
        <v>930922.2</v>
      </c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9">
        <f t="shared" si="5"/>
        <v>930922.2</v>
      </c>
    </row>
    <row r="49" spans="2:27" ht="31.5" x14ac:dyDescent="0.25">
      <c r="B49" s="91">
        <v>19</v>
      </c>
      <c r="C49" s="66">
        <v>1700</v>
      </c>
      <c r="D49" s="67" t="s">
        <v>94</v>
      </c>
      <c r="E49" s="92">
        <v>4497134.4000000004</v>
      </c>
      <c r="F49" s="92">
        <f t="shared" si="0"/>
        <v>486178.56</v>
      </c>
      <c r="G49" s="92"/>
      <c r="H49" s="92"/>
      <c r="I49" s="92">
        <v>486178.56</v>
      </c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3">
        <f t="shared" si="5"/>
        <v>486178.56</v>
      </c>
    </row>
    <row r="50" spans="2:27" ht="15.75" x14ac:dyDescent="0.25">
      <c r="B50" s="60">
        <v>59</v>
      </c>
      <c r="C50" s="61">
        <v>101160</v>
      </c>
      <c r="D50" s="62" t="s">
        <v>95</v>
      </c>
      <c r="E50" s="63">
        <v>19530000</v>
      </c>
      <c r="F50" s="63">
        <f t="shared" si="0"/>
        <v>4758930</v>
      </c>
      <c r="G50" s="63"/>
      <c r="H50" s="63"/>
      <c r="I50" s="63">
        <f>90145+1532465+174240+2962080</f>
        <v>4758930</v>
      </c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4">
        <f t="shared" si="5"/>
        <v>4758930</v>
      </c>
    </row>
    <row r="51" spans="2:27" ht="32.25" thickBot="1" x14ac:dyDescent="0.3">
      <c r="B51" s="70">
        <v>52</v>
      </c>
      <c r="C51" s="71">
        <v>101155</v>
      </c>
      <c r="D51" s="72" t="s">
        <v>103</v>
      </c>
      <c r="E51" s="73">
        <v>6148995.4800000004</v>
      </c>
      <c r="F51" s="73">
        <f t="shared" si="0"/>
        <v>1471162.5</v>
      </c>
      <c r="G51" s="73">
        <v>1249387.2</v>
      </c>
      <c r="H51" s="73">
        <v>221775.3</v>
      </c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4">
        <f t="shared" si="5"/>
        <v>1471162.5</v>
      </c>
    </row>
    <row r="52" spans="2:27" ht="32.25" thickTop="1" x14ac:dyDescent="0.25">
      <c r="B52" s="90">
        <v>59</v>
      </c>
      <c r="C52" s="86">
        <v>101124</v>
      </c>
      <c r="D52" s="87" t="s">
        <v>96</v>
      </c>
      <c r="E52" s="88">
        <v>23936400</v>
      </c>
      <c r="F52" s="88">
        <f t="shared" si="0"/>
        <v>3594215.54</v>
      </c>
      <c r="G52" s="88">
        <f>2895199.96+170305.88</f>
        <v>3065505.84</v>
      </c>
      <c r="H52" s="88">
        <f>499337+29372.7</f>
        <v>528709.69999999995</v>
      </c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9">
        <f t="shared" si="5"/>
        <v>3594215.54</v>
      </c>
    </row>
    <row r="53" spans="2:27" ht="31.5" x14ac:dyDescent="0.25">
      <c r="B53" s="60">
        <v>52</v>
      </c>
      <c r="C53" s="61">
        <v>101018</v>
      </c>
      <c r="D53" s="62" t="s">
        <v>97</v>
      </c>
      <c r="E53" s="63">
        <v>2069560</v>
      </c>
      <c r="F53" s="63">
        <f t="shared" si="0"/>
        <v>890069.75</v>
      </c>
      <c r="G53" s="63">
        <v>877969.75</v>
      </c>
      <c r="H53" s="63">
        <v>12100</v>
      </c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4">
        <f t="shared" si="5"/>
        <v>890069.75</v>
      </c>
    </row>
    <row r="54" spans="2:27" ht="47.25" x14ac:dyDescent="0.25">
      <c r="B54" s="60">
        <v>52</v>
      </c>
      <c r="C54" s="61">
        <v>101151</v>
      </c>
      <c r="D54" s="62" t="s">
        <v>102</v>
      </c>
      <c r="E54" s="63">
        <v>8811260.8399999999</v>
      </c>
      <c r="F54" s="63">
        <f t="shared" si="0"/>
        <v>21251.83</v>
      </c>
      <c r="G54" s="63"/>
      <c r="H54" s="63">
        <v>21251.83</v>
      </c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4">
        <f t="shared" si="5"/>
        <v>21251.83</v>
      </c>
    </row>
    <row r="55" spans="2:27" ht="15.75" x14ac:dyDescent="0.25">
      <c r="B55" s="65">
        <v>50</v>
      </c>
      <c r="C55" s="66">
        <v>100931</v>
      </c>
      <c r="D55" s="67" t="s">
        <v>98</v>
      </c>
      <c r="E55" s="68">
        <f>1794250.17+(25.58*1129713.15)</f>
        <v>30692312.546999998</v>
      </c>
      <c r="F55" s="68">
        <f t="shared" si="0"/>
        <v>10453740.130000001</v>
      </c>
      <c r="G55" s="68"/>
      <c r="H55" s="68">
        <v>10453740.130000001</v>
      </c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9">
        <f t="shared" si="5"/>
        <v>10453740.130000001</v>
      </c>
    </row>
    <row r="56" spans="2:27" ht="32.25" thickBot="1" x14ac:dyDescent="0.3">
      <c r="B56" s="94">
        <v>52</v>
      </c>
      <c r="C56" s="95">
        <v>101133</v>
      </c>
      <c r="D56" s="96" t="s">
        <v>101</v>
      </c>
      <c r="E56" s="97">
        <v>23562987.300000001</v>
      </c>
      <c r="F56" s="97">
        <f t="shared" si="0"/>
        <v>1225454.72</v>
      </c>
      <c r="G56" s="97">
        <v>1225454.72</v>
      </c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7"/>
      <c r="AA56" s="98">
        <f>F56-Z56</f>
        <v>1225454.72</v>
      </c>
    </row>
    <row r="57" spans="2:27" ht="20.100000000000001" customHeight="1" thickTop="1" thickBot="1" x14ac:dyDescent="0.3">
      <c r="B57" s="81"/>
      <c r="C57" s="82"/>
      <c r="D57" s="82"/>
      <c r="E57" s="83">
        <f>SUM(E4:E56)</f>
        <v>1300203997.777</v>
      </c>
      <c r="F57" s="83">
        <f>SUM(F4:F56)</f>
        <v>587168187.31000006</v>
      </c>
      <c r="G57" s="83">
        <f>SUM(G4:G56)</f>
        <v>33723490.390000001</v>
      </c>
      <c r="H57" s="83">
        <f t="shared" ref="H57:Z57" si="6">SUM(H4:H56)</f>
        <v>34962249.579999998</v>
      </c>
      <c r="I57" s="83">
        <f t="shared" si="6"/>
        <v>68195259.400000006</v>
      </c>
      <c r="J57" s="83">
        <f t="shared" si="6"/>
        <v>19919223.909999996</v>
      </c>
      <c r="K57" s="83">
        <f t="shared" si="6"/>
        <v>53366828.850000001</v>
      </c>
      <c r="L57" s="83">
        <f t="shared" si="6"/>
        <v>25764997.969999999</v>
      </c>
      <c r="M57" s="83">
        <f t="shared" si="6"/>
        <v>56876644.520000003</v>
      </c>
      <c r="N57" s="83">
        <f t="shared" si="6"/>
        <v>55694756.119999997</v>
      </c>
      <c r="O57" s="83">
        <f t="shared" si="6"/>
        <v>3693296.3600000003</v>
      </c>
      <c r="P57" s="83">
        <f t="shared" si="6"/>
        <v>894272.2</v>
      </c>
      <c r="Q57" s="83">
        <f t="shared" si="6"/>
        <v>17376.990000000002</v>
      </c>
      <c r="R57" s="83">
        <f t="shared" si="6"/>
        <v>16414704.029999999</v>
      </c>
      <c r="S57" s="83">
        <f t="shared" si="6"/>
        <v>3244919.44</v>
      </c>
      <c r="T57" s="83">
        <f t="shared" si="6"/>
        <v>30566884.609999999</v>
      </c>
      <c r="U57" s="83">
        <f t="shared" si="6"/>
        <v>18250721.109999999</v>
      </c>
      <c r="V57" s="83">
        <f t="shared" si="6"/>
        <v>19474817.859999999</v>
      </c>
      <c r="W57" s="83">
        <f t="shared" si="6"/>
        <v>59854153.43</v>
      </c>
      <c r="X57" s="83">
        <f t="shared" si="6"/>
        <v>37393590.539999999</v>
      </c>
      <c r="Y57" s="83">
        <f t="shared" si="6"/>
        <v>48860000</v>
      </c>
      <c r="Z57" s="83">
        <f t="shared" si="6"/>
        <v>203188377.55999997</v>
      </c>
      <c r="AA57" s="84">
        <f>SUM(AA4:AA56)</f>
        <v>383979809.75</v>
      </c>
    </row>
    <row r="58" spans="2:27" ht="24.75" customHeight="1" thickTop="1" thickBot="1" x14ac:dyDescent="0.3">
      <c r="B58" s="111" t="s">
        <v>40</v>
      </c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2"/>
      <c r="R58" s="112"/>
      <c r="S58" s="112"/>
      <c r="T58" s="112"/>
      <c r="U58" s="112"/>
      <c r="V58" s="112"/>
      <c r="W58" s="112"/>
      <c r="X58" s="112"/>
      <c r="Y58" s="112"/>
      <c r="Z58" s="112"/>
      <c r="AA58" s="85">
        <f>600000000-AA57</f>
        <v>216020190.25</v>
      </c>
    </row>
    <row r="59" spans="2:27" ht="15.75" thickTop="1" x14ac:dyDescent="0.25"/>
  </sheetData>
  <mergeCells count="33">
    <mergeCell ref="B58:Z58"/>
    <mergeCell ref="B1:E1"/>
    <mergeCell ref="Z2:Z3"/>
    <mergeCell ref="AA2:AA3"/>
    <mergeCell ref="F2:F3"/>
    <mergeCell ref="C2:C3"/>
    <mergeCell ref="D2:D3"/>
    <mergeCell ref="B2:B3"/>
    <mergeCell ref="E2:E3"/>
    <mergeCell ref="V2:V3"/>
    <mergeCell ref="W2:W3"/>
    <mergeCell ref="X2:X3"/>
    <mergeCell ref="Y2:Y3"/>
    <mergeCell ref="U2:U3"/>
    <mergeCell ref="T2:T3"/>
    <mergeCell ref="K2:K3"/>
    <mergeCell ref="Q2:Q3"/>
    <mergeCell ref="M2:M3"/>
    <mergeCell ref="S2:S3"/>
    <mergeCell ref="R2:R3"/>
    <mergeCell ref="P2:P3"/>
    <mergeCell ref="N2:N3"/>
    <mergeCell ref="O2:O3"/>
    <mergeCell ref="G2:G3"/>
    <mergeCell ref="H2:H3"/>
    <mergeCell ref="I2:I3"/>
    <mergeCell ref="J2:J3"/>
    <mergeCell ref="L2:L3"/>
    <mergeCell ref="D40:D41"/>
    <mergeCell ref="B40:B41"/>
    <mergeCell ref="E40:E41"/>
    <mergeCell ref="F40:F41"/>
    <mergeCell ref="AA40:AA41"/>
  </mergeCells>
  <pageMargins left="0.70866141732283472" right="0.70866141732283472" top="0.39370078740157483" bottom="0.78740157480314965" header="0.31496062992125984" footer="0.31496062992125984"/>
  <pageSetup paperSize="9" scale="70" firstPageNumber="14" fitToHeight="0" orientation="landscape" useFirstPageNumber="1" r:id="rId1"/>
  <headerFooter>
    <oddFooter>&amp;LZastupitelstvo Olomouckého kraje 17. 9. 2018
7.3. - Rozpočet Olomouckého kraje 2018 - čerpání revolvingového úvěru KB
Příloha č. 5 - přehled revolvingového úvěru&amp;RStrana &amp;P (celkem 16)</oddFooter>
  </headerFooter>
  <rowBreaks count="1" manualBreakCount="1">
    <brk id="28" min="1" max="24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27"/>
  <sheetViews>
    <sheetView zoomScale="90" zoomScaleNormal="90" workbookViewId="0">
      <selection sqref="A1:G1"/>
    </sheetView>
  </sheetViews>
  <sheetFormatPr defaultRowHeight="15" x14ac:dyDescent="0.2"/>
  <cols>
    <col min="1" max="1" width="11.42578125" style="6" customWidth="1"/>
    <col min="2" max="2" width="6.7109375" style="6" customWidth="1"/>
    <col min="3" max="3" width="9.28515625" style="6" customWidth="1"/>
    <col min="4" max="4" width="9.7109375" style="6" customWidth="1"/>
    <col min="5" max="5" width="37.85546875" style="39" customWidth="1"/>
    <col min="6" max="6" width="16.85546875" style="6" customWidth="1"/>
    <col min="7" max="7" width="15" style="6" customWidth="1"/>
    <col min="8" max="8" width="19.5703125" style="6" customWidth="1"/>
    <col min="9" max="10" width="15.7109375" style="6" customWidth="1"/>
    <col min="11" max="11" width="16.42578125" style="6" customWidth="1"/>
    <col min="12" max="12" width="12.7109375" style="6" bestFit="1" customWidth="1"/>
    <col min="13" max="13" width="14.140625" style="6" customWidth="1"/>
    <col min="14" max="16384" width="9.140625" style="6"/>
  </cols>
  <sheetData>
    <row r="1" spans="1:13" s="4" customFormat="1" ht="15.75" x14ac:dyDescent="0.25">
      <c r="A1" s="139" t="s">
        <v>25</v>
      </c>
      <c r="B1" s="139"/>
      <c r="C1" s="139"/>
      <c r="D1" s="139"/>
      <c r="E1" s="139"/>
      <c r="F1" s="139"/>
      <c r="G1" s="139"/>
      <c r="H1" s="2"/>
      <c r="I1" s="2"/>
      <c r="J1" s="2"/>
      <c r="K1" s="3"/>
    </row>
    <row r="2" spans="1:13" s="4" customFormat="1" ht="15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3" ht="16.5" thickBo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5"/>
      <c r="M3" s="3" t="s">
        <v>11</v>
      </c>
    </row>
    <row r="4" spans="1:13" ht="32.25" customHeight="1" x14ac:dyDescent="0.2">
      <c r="A4" s="122" t="s">
        <v>0</v>
      </c>
      <c r="B4" s="124" t="s">
        <v>5</v>
      </c>
      <c r="C4" s="124" t="s">
        <v>6</v>
      </c>
      <c r="D4" s="126" t="s">
        <v>10</v>
      </c>
      <c r="E4" s="126" t="s">
        <v>1</v>
      </c>
      <c r="F4" s="134" t="s">
        <v>4</v>
      </c>
      <c r="G4" s="126" t="s">
        <v>7</v>
      </c>
      <c r="H4" s="130" t="s">
        <v>3</v>
      </c>
      <c r="I4" s="126" t="s">
        <v>9</v>
      </c>
      <c r="J4" s="126" t="s">
        <v>12</v>
      </c>
      <c r="K4" s="126" t="s">
        <v>8</v>
      </c>
      <c r="L4" s="132" t="s">
        <v>13</v>
      </c>
      <c r="M4" s="128" t="s">
        <v>14</v>
      </c>
    </row>
    <row r="5" spans="1:13" ht="39" customHeight="1" thickBot="1" x14ac:dyDescent="0.25">
      <c r="A5" s="123"/>
      <c r="B5" s="125"/>
      <c r="C5" s="125"/>
      <c r="D5" s="127"/>
      <c r="E5" s="127"/>
      <c r="F5" s="135"/>
      <c r="G5" s="127"/>
      <c r="H5" s="131"/>
      <c r="I5" s="127"/>
      <c r="J5" s="127"/>
      <c r="K5" s="127"/>
      <c r="L5" s="133"/>
      <c r="M5" s="129"/>
    </row>
    <row r="6" spans="1:13" ht="30" x14ac:dyDescent="0.2">
      <c r="A6" s="7">
        <v>100916</v>
      </c>
      <c r="B6" s="8">
        <v>50</v>
      </c>
      <c r="C6" s="8">
        <v>2212</v>
      </c>
      <c r="D6" s="8">
        <v>61</v>
      </c>
      <c r="E6" s="9" t="s">
        <v>15</v>
      </c>
      <c r="F6" s="10">
        <v>60163</v>
      </c>
      <c r="G6" s="10">
        <v>55924</v>
      </c>
      <c r="H6" s="11">
        <v>27962</v>
      </c>
      <c r="I6" s="11">
        <v>4239</v>
      </c>
      <c r="J6" s="12">
        <f>(I6/F6)</f>
        <v>7.0458587503947609E-2</v>
      </c>
      <c r="K6" s="13">
        <f>H6+I6</f>
        <v>32201</v>
      </c>
      <c r="L6" s="14">
        <v>2299</v>
      </c>
      <c r="M6" s="15">
        <f>I6-L6</f>
        <v>1940</v>
      </c>
    </row>
    <row r="7" spans="1:13" ht="35.25" customHeight="1" x14ac:dyDescent="0.2">
      <c r="A7" s="16">
        <v>100932</v>
      </c>
      <c r="B7" s="17">
        <v>50</v>
      </c>
      <c r="C7" s="18">
        <v>3122</v>
      </c>
      <c r="D7" s="18">
        <v>61</v>
      </c>
      <c r="E7" s="19" t="s">
        <v>16</v>
      </c>
      <c r="F7" s="20">
        <v>6191</v>
      </c>
      <c r="G7" s="20">
        <v>5341</v>
      </c>
      <c r="H7" s="21">
        <v>1602</v>
      </c>
      <c r="I7" s="21">
        <f>281+569</f>
        <v>850</v>
      </c>
      <c r="J7" s="12">
        <f>(I7/F7)</f>
        <v>0.13729607494750445</v>
      </c>
      <c r="K7" s="22">
        <f>H7+I7</f>
        <v>2452</v>
      </c>
      <c r="L7" s="23">
        <f>69+781</f>
        <v>850</v>
      </c>
      <c r="M7" s="24">
        <f>I7-L7</f>
        <v>0</v>
      </c>
    </row>
    <row r="8" spans="1:13" ht="30" x14ac:dyDescent="0.2">
      <c r="A8" s="16">
        <v>100934</v>
      </c>
      <c r="B8" s="17">
        <v>50</v>
      </c>
      <c r="C8" s="18">
        <v>3122</v>
      </c>
      <c r="D8" s="18">
        <v>61</v>
      </c>
      <c r="E8" s="19" t="s">
        <v>17</v>
      </c>
      <c r="F8" s="20">
        <v>22588</v>
      </c>
      <c r="G8" s="20">
        <v>19620</v>
      </c>
      <c r="H8" s="21">
        <v>5886</v>
      </c>
      <c r="I8" s="21">
        <f>1033+1935</f>
        <v>2968</v>
      </c>
      <c r="J8" s="12">
        <f>(I8/F8)</f>
        <v>0.13139720205418806</v>
      </c>
      <c r="K8" s="22">
        <f>H8+I8</f>
        <v>8854</v>
      </c>
      <c r="L8" s="23">
        <f>156+2812</f>
        <v>2968</v>
      </c>
      <c r="M8" s="24">
        <f>I8-L8</f>
        <v>0</v>
      </c>
    </row>
    <row r="9" spans="1:13" ht="30" x14ac:dyDescent="0.2">
      <c r="A9" s="16">
        <v>100965</v>
      </c>
      <c r="B9" s="17">
        <v>50</v>
      </c>
      <c r="C9" s="18">
        <v>3122</v>
      </c>
      <c r="D9" s="18">
        <v>61</v>
      </c>
      <c r="E9" s="19" t="s">
        <v>18</v>
      </c>
      <c r="F9" s="20">
        <v>12328</v>
      </c>
      <c r="G9" s="20">
        <v>11105</v>
      </c>
      <c r="H9" s="25">
        <v>3332</v>
      </c>
      <c r="I9" s="21">
        <f>584+638</f>
        <v>1222</v>
      </c>
      <c r="J9" s="12">
        <f>(I9/F9)</f>
        <v>9.9123945489941592E-2</v>
      </c>
      <c r="K9" s="22">
        <f>H9+I9</f>
        <v>4554</v>
      </c>
      <c r="L9" s="23">
        <f>61+1161</f>
        <v>1222</v>
      </c>
      <c r="M9" s="24">
        <f>I9-L9</f>
        <v>0</v>
      </c>
    </row>
    <row r="10" spans="1:13" ht="48.75" customHeight="1" thickBot="1" x14ac:dyDescent="0.25">
      <c r="A10" s="26">
        <v>100883</v>
      </c>
      <c r="B10" s="27">
        <v>52</v>
      </c>
      <c r="C10" s="27">
        <v>3121</v>
      </c>
      <c r="D10" s="27">
        <v>61</v>
      </c>
      <c r="E10" s="28" t="s">
        <v>19</v>
      </c>
      <c r="F10" s="29">
        <v>40427</v>
      </c>
      <c r="G10" s="29">
        <v>16830</v>
      </c>
      <c r="H10" s="30">
        <v>0</v>
      </c>
      <c r="I10" s="30">
        <v>23597</v>
      </c>
      <c r="J10" s="31">
        <f>(I10/F10)</f>
        <v>0.58369406584708239</v>
      </c>
      <c r="K10" s="32">
        <f>H10+I10</f>
        <v>23597</v>
      </c>
      <c r="L10" s="33">
        <v>2000</v>
      </c>
      <c r="M10" s="34">
        <f>I10-L10</f>
        <v>21597</v>
      </c>
    </row>
    <row r="11" spans="1:13" s="38" customFormat="1" ht="18.75" thickBot="1" x14ac:dyDescent="0.3">
      <c r="A11" s="136" t="s">
        <v>2</v>
      </c>
      <c r="B11" s="137"/>
      <c r="C11" s="137"/>
      <c r="D11" s="137"/>
      <c r="E11" s="137"/>
      <c r="F11" s="35">
        <f>SUM(F6:F10)</f>
        <v>141697</v>
      </c>
      <c r="G11" s="35">
        <f>SUM(G6:G10)</f>
        <v>108820</v>
      </c>
      <c r="H11" s="52">
        <f>SUM(H6:H10)</f>
        <v>38782</v>
      </c>
      <c r="I11" s="35">
        <f>SUM(I6:I10)</f>
        <v>32876</v>
      </c>
      <c r="J11" s="36"/>
      <c r="K11" s="35">
        <f>SUM(K6:K10)</f>
        <v>71658</v>
      </c>
      <c r="L11" s="36">
        <f>SUM(L6:L10)</f>
        <v>9339</v>
      </c>
      <c r="M11" s="37">
        <f>SUM(M6:M10)</f>
        <v>23537</v>
      </c>
    </row>
    <row r="12" spans="1:13" ht="15.75" thickBot="1" x14ac:dyDescent="0.25"/>
    <row r="13" spans="1:13" ht="15.75" customHeight="1" x14ac:dyDescent="0.2">
      <c r="A13" s="122" t="s">
        <v>0</v>
      </c>
      <c r="B13" s="124" t="s">
        <v>5</v>
      </c>
      <c r="C13" s="124" t="s">
        <v>6</v>
      </c>
      <c r="D13" s="126" t="s">
        <v>10</v>
      </c>
      <c r="E13" s="126" t="s">
        <v>1</v>
      </c>
      <c r="F13" s="134" t="s">
        <v>4</v>
      </c>
      <c r="G13" s="126" t="s">
        <v>7</v>
      </c>
      <c r="H13" s="130" t="s">
        <v>3</v>
      </c>
      <c r="I13" s="126" t="s">
        <v>9</v>
      </c>
      <c r="J13" s="126" t="s">
        <v>12</v>
      </c>
      <c r="K13" s="126" t="s">
        <v>8</v>
      </c>
      <c r="L13" s="132" t="s">
        <v>13</v>
      </c>
      <c r="M13" s="128" t="s">
        <v>14</v>
      </c>
    </row>
    <row r="14" spans="1:13" ht="39" customHeight="1" thickBot="1" x14ac:dyDescent="0.25">
      <c r="A14" s="123"/>
      <c r="B14" s="125"/>
      <c r="C14" s="125"/>
      <c r="D14" s="127"/>
      <c r="E14" s="127"/>
      <c r="F14" s="135"/>
      <c r="G14" s="127"/>
      <c r="H14" s="131"/>
      <c r="I14" s="127"/>
      <c r="J14" s="127"/>
      <c r="K14" s="127"/>
      <c r="L14" s="133"/>
      <c r="M14" s="129"/>
    </row>
    <row r="15" spans="1:13" ht="30" x14ac:dyDescent="0.2">
      <c r="A15" s="40" t="s">
        <v>20</v>
      </c>
      <c r="B15" s="17">
        <v>50</v>
      </c>
      <c r="C15" s="17">
        <v>2212</v>
      </c>
      <c r="D15" s="17">
        <v>61</v>
      </c>
      <c r="E15" s="41" t="s">
        <v>21</v>
      </c>
      <c r="F15" s="20">
        <v>33567</v>
      </c>
      <c r="G15" s="20">
        <v>31889</v>
      </c>
      <c r="H15" s="21">
        <v>11567</v>
      </c>
      <c r="I15" s="21">
        <v>1678</v>
      </c>
      <c r="J15" s="12">
        <f>(I15/F15)</f>
        <v>4.9989573092620726E-2</v>
      </c>
      <c r="K15" s="22">
        <f>H15+I15</f>
        <v>13245</v>
      </c>
      <c r="L15" s="42">
        <v>0</v>
      </c>
      <c r="M15" s="24">
        <f>I15-L15</f>
        <v>1678</v>
      </c>
    </row>
    <row r="16" spans="1:13" ht="45" x14ac:dyDescent="0.2">
      <c r="A16" s="40" t="s">
        <v>20</v>
      </c>
      <c r="B16" s="17">
        <v>50</v>
      </c>
      <c r="C16" s="17">
        <v>2212</v>
      </c>
      <c r="D16" s="17">
        <v>61</v>
      </c>
      <c r="E16" s="41" t="s">
        <v>22</v>
      </c>
      <c r="F16" s="20">
        <v>60281</v>
      </c>
      <c r="G16" s="20">
        <v>57267</v>
      </c>
      <c r="H16" s="21">
        <v>17281</v>
      </c>
      <c r="I16" s="21">
        <v>3014</v>
      </c>
      <c r="J16" s="12">
        <f>(I16/F16)</f>
        <v>4.9999170551251637E-2</v>
      </c>
      <c r="K16" s="22">
        <f>H16+I16</f>
        <v>20295</v>
      </c>
      <c r="L16" s="23">
        <v>0</v>
      </c>
      <c r="M16" s="24">
        <f>I16-L16</f>
        <v>3014</v>
      </c>
    </row>
    <row r="17" spans="1:13" ht="30" x14ac:dyDescent="0.2">
      <c r="A17" s="40" t="s">
        <v>20</v>
      </c>
      <c r="B17" s="17">
        <v>50</v>
      </c>
      <c r="C17" s="18">
        <v>3122</v>
      </c>
      <c r="D17" s="18">
        <v>61</v>
      </c>
      <c r="E17" s="19" t="s">
        <v>23</v>
      </c>
      <c r="F17" s="20">
        <v>9705</v>
      </c>
      <c r="G17" s="20">
        <v>9220</v>
      </c>
      <c r="H17" s="21">
        <v>2205</v>
      </c>
      <c r="I17" s="21">
        <v>485</v>
      </c>
      <c r="J17" s="12">
        <f>(I17/F17)</f>
        <v>4.9974240082431738E-2</v>
      </c>
      <c r="K17" s="22">
        <f>H17+I17</f>
        <v>2690</v>
      </c>
      <c r="L17" s="23">
        <v>0</v>
      </c>
      <c r="M17" s="24">
        <f>I17-L17</f>
        <v>485</v>
      </c>
    </row>
    <row r="18" spans="1:13" ht="16.5" thickBot="1" x14ac:dyDescent="0.25">
      <c r="A18" s="43" t="s">
        <v>20</v>
      </c>
      <c r="B18" s="44">
        <v>50</v>
      </c>
      <c r="C18" s="45">
        <v>3113</v>
      </c>
      <c r="D18" s="45">
        <v>61</v>
      </c>
      <c r="E18" s="46" t="s">
        <v>24</v>
      </c>
      <c r="F18" s="47">
        <v>21812</v>
      </c>
      <c r="G18" s="47">
        <v>20703</v>
      </c>
      <c r="H18" s="48">
        <v>7562</v>
      </c>
      <c r="I18" s="48">
        <v>1109</v>
      </c>
      <c r="J18" s="31">
        <f>(I18/F18)</f>
        <v>5.0843572345497891E-2</v>
      </c>
      <c r="K18" s="49">
        <f>H18+I18</f>
        <v>8671</v>
      </c>
      <c r="L18" s="33">
        <v>0</v>
      </c>
      <c r="M18" s="34">
        <f>I18-L18</f>
        <v>1109</v>
      </c>
    </row>
    <row r="19" spans="1:13" ht="18.75" thickBot="1" x14ac:dyDescent="0.25">
      <c r="A19" s="136" t="s">
        <v>26</v>
      </c>
      <c r="B19" s="137"/>
      <c r="C19" s="137"/>
      <c r="D19" s="137"/>
      <c r="E19" s="137"/>
      <c r="F19" s="36">
        <f>SUM(F15:F18)</f>
        <v>125365</v>
      </c>
      <c r="G19" s="36">
        <f t="shared" ref="G19:I19" si="0">SUM(G15:G18)</f>
        <v>119079</v>
      </c>
      <c r="H19" s="53">
        <f>SUM(H15:H18)</f>
        <v>38615</v>
      </c>
      <c r="I19" s="36">
        <f t="shared" si="0"/>
        <v>6286</v>
      </c>
      <c r="J19" s="36"/>
      <c r="K19" s="36">
        <f t="shared" ref="K19:M19" si="1">SUM(K15:K18)</f>
        <v>44901</v>
      </c>
      <c r="L19" s="36">
        <f t="shared" si="1"/>
        <v>0</v>
      </c>
      <c r="M19" s="37">
        <f t="shared" si="1"/>
        <v>6286</v>
      </c>
    </row>
    <row r="20" spans="1:13" ht="15.75" thickBot="1" x14ac:dyDescent="0.25"/>
    <row r="21" spans="1:13" ht="18.75" thickBot="1" x14ac:dyDescent="0.25">
      <c r="A21" s="136" t="s">
        <v>2</v>
      </c>
      <c r="B21" s="137"/>
      <c r="C21" s="137"/>
      <c r="D21" s="137"/>
      <c r="E21" s="137"/>
      <c r="F21" s="36">
        <f>F11+F19</f>
        <v>267062</v>
      </c>
      <c r="G21" s="36">
        <f t="shared" ref="G21:M21" si="2">G11+G19</f>
        <v>227899</v>
      </c>
      <c r="H21" s="53">
        <f t="shared" si="2"/>
        <v>77397</v>
      </c>
      <c r="I21" s="36">
        <f t="shared" si="2"/>
        <v>39162</v>
      </c>
      <c r="J21" s="36"/>
      <c r="K21" s="36">
        <f t="shared" si="2"/>
        <v>116559</v>
      </c>
      <c r="L21" s="36">
        <f t="shared" si="2"/>
        <v>9339</v>
      </c>
      <c r="M21" s="37">
        <f t="shared" si="2"/>
        <v>29823</v>
      </c>
    </row>
    <row r="22" spans="1:13" ht="18" x14ac:dyDescent="0.25">
      <c r="K22" s="138"/>
      <c r="L22" s="138"/>
      <c r="M22" s="50"/>
    </row>
    <row r="25" spans="1:13" ht="15.75" x14ac:dyDescent="0.25">
      <c r="G25" s="51"/>
    </row>
    <row r="27" spans="1:13" ht="15.75" x14ac:dyDescent="0.25">
      <c r="G27" s="51"/>
    </row>
  </sheetData>
  <mergeCells count="31">
    <mergeCell ref="A19:E19"/>
    <mergeCell ref="A21:E21"/>
    <mergeCell ref="K22:L22"/>
    <mergeCell ref="A1:G1"/>
    <mergeCell ref="H13:H14"/>
    <mergeCell ref="I13:I14"/>
    <mergeCell ref="J13:J14"/>
    <mergeCell ref="K13:K14"/>
    <mergeCell ref="L13:L14"/>
    <mergeCell ref="F13:F14"/>
    <mergeCell ref="G13:G14"/>
    <mergeCell ref="A11:E11"/>
    <mergeCell ref="A13:A14"/>
    <mergeCell ref="B13:B14"/>
    <mergeCell ref="C13:C14"/>
    <mergeCell ref="D13:D14"/>
    <mergeCell ref="E13:E14"/>
    <mergeCell ref="M4:M5"/>
    <mergeCell ref="G4:G5"/>
    <mergeCell ref="H4:H5"/>
    <mergeCell ref="I4:I5"/>
    <mergeCell ref="J4:J5"/>
    <mergeCell ref="K4:K5"/>
    <mergeCell ref="L4:L5"/>
    <mergeCell ref="F4:F5"/>
    <mergeCell ref="M13:M14"/>
    <mergeCell ref="A4:A5"/>
    <mergeCell ref="B4:B5"/>
    <mergeCell ref="C4:C5"/>
    <mergeCell ref="D4:D5"/>
    <mergeCell ref="E4:E5"/>
  </mergeCells>
  <pageMargins left="0.70866141732283472" right="0.70866141732283472" top="0.78740157480314965" bottom="0.78740157480314965" header="0.31496062992125984" footer="0.31496062992125984"/>
  <pageSetup paperSize="9" scale="55" orientation="landscape" r:id="rId1"/>
  <headerFooter>
    <oddFooter>&amp;L&amp;"Arial,Kurzíva"Zastupitelstvo Olomouckého kraje 20-02-2015
6.1. Rozpočet Olomouckého kraje 2015 - investice
Příloha č. 1: Návrh nových investičních akcí 2015&amp;RStrana &amp;P (celkem 22)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Přehled úvěru</vt:lpstr>
      <vt:lpstr>Dotace - aktualizace</vt:lpstr>
      <vt:lpstr>'Přehled úvěru'!Názvy_tisku</vt:lpstr>
      <vt:lpstr>'Přehled úvěru'!Oblast_tisku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Foret Oldřich</dc:creator>
  <cp:lastModifiedBy>Foret Oldřich</cp:lastModifiedBy>
  <cp:lastPrinted>2018-08-27T09:15:08Z</cp:lastPrinted>
  <dcterms:created xsi:type="dcterms:W3CDTF">2013-11-04T07:24:03Z</dcterms:created>
  <dcterms:modified xsi:type="dcterms:W3CDTF">2018-08-30T04:39:56Z</dcterms:modified>
</cp:coreProperties>
</file>