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18\Plnění rozpočtu k 31.7.2018\ZOK\"/>
    </mc:Choice>
  </mc:AlternateContent>
  <bookViews>
    <workbookView xWindow="0" yWindow="105" windowWidth="15195" windowHeight="8385" activeTab="3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Financování!$A$1:$E$17</definedName>
    <definedName name="_xlnm.Print_Area" localSheetId="0">Příjmy!$A$1:$E$19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Výdaje!$A$1:$F$123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H9" i="3" l="1"/>
  <c r="E95" i="2" l="1"/>
  <c r="E11" i="2"/>
  <c r="E22" i="2"/>
  <c r="B16" i="10" l="1"/>
  <c r="C16" i="10"/>
  <c r="D16" i="10"/>
  <c r="D119" i="2"/>
  <c r="C119" i="2"/>
  <c r="C116" i="2"/>
  <c r="E7" i="2"/>
  <c r="D54" i="2"/>
  <c r="D95" i="2"/>
  <c r="E66" i="2" l="1"/>
  <c r="D66" i="2"/>
  <c r="C66" i="2"/>
  <c r="F59" i="2"/>
  <c r="E60" i="2"/>
  <c r="D60" i="2"/>
  <c r="E47" i="2"/>
  <c r="D47" i="2"/>
  <c r="C47" i="2"/>
  <c r="C53" i="2"/>
  <c r="E35" i="2" l="1"/>
  <c r="D35" i="2"/>
  <c r="C35" i="2"/>
  <c r="C43" i="2" l="1"/>
  <c r="E30" i="2" l="1"/>
  <c r="D31" i="2"/>
  <c r="E31" i="2"/>
  <c r="C31" i="2"/>
  <c r="C30" i="2"/>
  <c r="E27" i="2"/>
  <c r="D27" i="2"/>
  <c r="C27" i="2"/>
  <c r="C26" i="2" s="1"/>
  <c r="C11" i="2"/>
  <c r="C10" i="2" s="1"/>
  <c r="C22" i="2"/>
  <c r="C15" i="2"/>
  <c r="C6" i="2"/>
  <c r="D22" i="2" l="1"/>
  <c r="D11" i="2"/>
  <c r="F8" i="2"/>
  <c r="D7" i="2"/>
  <c r="C7" i="2" l="1"/>
  <c r="C121" i="2"/>
  <c r="C118" i="2"/>
  <c r="C117" i="2"/>
  <c r="C106" i="2"/>
  <c r="C102" i="2"/>
  <c r="C98" i="2"/>
  <c r="C94" i="2"/>
  <c r="C90" i="2"/>
  <c r="C87" i="2"/>
  <c r="C86" i="2"/>
  <c r="C82" i="2"/>
  <c r="C79" i="2"/>
  <c r="C75" i="2"/>
  <c r="C71" i="2"/>
  <c r="C70" i="2" s="1"/>
  <c r="C69" i="2" s="1"/>
  <c r="C65" i="2"/>
  <c r="C58" i="2"/>
  <c r="C54" i="2"/>
  <c r="C50" i="2"/>
  <c r="C46" i="2"/>
  <c r="C45" i="2" s="1"/>
  <c r="C42" i="2"/>
  <c r="C39" i="2"/>
  <c r="C21" i="2"/>
  <c r="C18" i="2"/>
  <c r="C34" i="2" l="1"/>
  <c r="C105" i="2" s="1"/>
  <c r="C107" i="2" s="1"/>
  <c r="C120" i="2"/>
  <c r="C122" i="2" s="1"/>
  <c r="D39" i="2" l="1"/>
  <c r="E39" i="2"/>
  <c r="D42" i="2"/>
  <c r="E42" i="2"/>
  <c r="E16" i="10" l="1"/>
  <c r="E11" i="10"/>
  <c r="E13" i="10"/>
  <c r="D117" i="2" l="1"/>
  <c r="E117" i="2"/>
  <c r="D118" i="2"/>
  <c r="E118" i="2"/>
  <c r="F118" i="2" l="1"/>
  <c r="F117" i="2"/>
  <c r="F85" i="2"/>
  <c r="D21" i="2" l="1"/>
  <c r="E18" i="2"/>
  <c r="D18" i="2"/>
  <c r="F20" i="2"/>
  <c r="F19" i="2"/>
  <c r="F18" i="2" l="1"/>
  <c r="D82" i="2" l="1"/>
  <c r="E82" i="2"/>
  <c r="F84" i="2"/>
  <c r="D79" i="2"/>
  <c r="E79" i="2"/>
  <c r="D65" i="2"/>
  <c r="E65" i="2"/>
  <c r="E54" i="2"/>
  <c r="F68" i="2"/>
  <c r="F66" i="2"/>
  <c r="F76" i="2"/>
  <c r="D75" i="2"/>
  <c r="E75" i="2"/>
  <c r="D70" i="2"/>
  <c r="E70" i="2"/>
  <c r="F73" i="2"/>
  <c r="D58" i="2"/>
  <c r="E58" i="2"/>
  <c r="F51" i="2"/>
  <c r="D50" i="2"/>
  <c r="E50" i="2"/>
  <c r="D46" i="2"/>
  <c r="E46" i="2"/>
  <c r="D30" i="2"/>
  <c r="D26" i="2"/>
  <c r="E26" i="2"/>
  <c r="E21" i="2"/>
  <c r="F24" i="2"/>
  <c r="D15" i="2"/>
  <c r="E15" i="2"/>
  <c r="D10" i="2"/>
  <c r="E10" i="2"/>
  <c r="D6" i="2"/>
  <c r="D53" i="2" l="1"/>
  <c r="E53" i="2"/>
  <c r="F54" i="2"/>
  <c r="F65" i="2"/>
  <c r="F26" i="2"/>
  <c r="E106" i="2"/>
  <c r="E119" i="2" s="1"/>
  <c r="D106" i="2"/>
  <c r="F119" i="2" l="1"/>
  <c r="E121" i="2"/>
  <c r="D121" i="2"/>
  <c r="E9" i="1"/>
  <c r="F121" i="2" l="1"/>
  <c r="F101" i="2"/>
  <c r="D13" i="1" l="1"/>
  <c r="C13" i="1"/>
  <c r="B13" i="1"/>
  <c r="E14" i="10" l="1"/>
  <c r="E10" i="10"/>
  <c r="E9" i="10"/>
  <c r="E14" i="1"/>
  <c r="E12" i="1"/>
  <c r="E11" i="1"/>
  <c r="E10" i="1"/>
  <c r="F12" i="2" l="1"/>
  <c r="D98" i="2" l="1"/>
  <c r="E98" i="2"/>
  <c r="F74" i="2" l="1"/>
  <c r="F57" i="2"/>
  <c r="F49" i="2" l="1"/>
  <c r="F38" i="2" l="1"/>
  <c r="F33" i="2"/>
  <c r="F29" i="2"/>
  <c r="F13" i="2"/>
  <c r="E9" i="3" l="1"/>
  <c r="G9" i="3" l="1"/>
  <c r="F9" i="3" l="1"/>
  <c r="F93" i="2" l="1"/>
  <c r="D34" i="2" l="1"/>
  <c r="F60" i="2" l="1"/>
  <c r="E90" i="2" l="1"/>
  <c r="D90" i="2" l="1"/>
  <c r="F9" i="2"/>
  <c r="F31" i="2" l="1"/>
  <c r="F47" i="2" l="1"/>
  <c r="F81" i="2" l="1"/>
  <c r="D45" i="2" l="1"/>
  <c r="E45" i="2" l="1"/>
  <c r="F50" i="2" l="1"/>
  <c r="D15" i="1" l="1"/>
  <c r="G7" i="3" l="1"/>
  <c r="F88" i="2" l="1"/>
  <c r="F92" i="2" l="1"/>
  <c r="F91" i="2" l="1"/>
  <c r="E87" i="2"/>
  <c r="E86" i="2" s="1"/>
  <c r="D87" i="2"/>
  <c r="F87" i="2" l="1"/>
  <c r="D86" i="2"/>
  <c r="F90" i="2"/>
  <c r="C15" i="1" l="1"/>
  <c r="E15" i="1" s="1"/>
  <c r="E13" i="1"/>
  <c r="F86" i="2"/>
  <c r="F7" i="3" l="1"/>
  <c r="H7" i="3" s="1"/>
  <c r="F82" i="2" l="1"/>
  <c r="E34" i="2" l="1"/>
  <c r="F35" i="2"/>
  <c r="F34" i="2" l="1"/>
  <c r="D69" i="2" l="1"/>
  <c r="F83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6" i="2" l="1"/>
  <c r="F14" i="2"/>
  <c r="F10" i="2"/>
  <c r="F15" i="2"/>
  <c r="E102" i="2"/>
  <c r="D102" i="2"/>
  <c r="F22" i="2"/>
  <c r="B15" i="1"/>
  <c r="F106" i="2"/>
  <c r="F103" i="2"/>
  <c r="F99" i="2"/>
  <c r="F96" i="2"/>
  <c r="F80" i="2"/>
  <c r="F55" i="2"/>
  <c r="F43" i="2"/>
  <c r="F40" i="2"/>
  <c r="F36" i="2"/>
  <c r="F28" i="2"/>
  <c r="F27" i="2"/>
  <c r="F17" i="2"/>
  <c r="F16" i="2"/>
  <c r="F11" i="2"/>
  <c r="E7" i="3" l="1"/>
  <c r="F71" i="2"/>
  <c r="E69" i="2"/>
  <c r="F98" i="2"/>
  <c r="G7" i="8"/>
  <c r="F39" i="2"/>
  <c r="F58" i="2"/>
  <c r="F102" i="2"/>
  <c r="F79" i="2"/>
  <c r="F30" i="2"/>
  <c r="F21" i="2"/>
  <c r="B6" i="4"/>
  <c r="F42" i="2"/>
  <c r="F53" i="2"/>
  <c r="F75" i="2"/>
  <c r="F45" i="2"/>
  <c r="F70" i="2" l="1"/>
  <c r="B4" i="4"/>
  <c r="E41" i="8"/>
  <c r="E7" i="8"/>
  <c r="F69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4" i="2"/>
  <c r="D105" i="2" s="1"/>
  <c r="D107" i="2" s="1"/>
  <c r="F8" i="3" s="1"/>
  <c r="C5" i="4" s="1"/>
  <c r="D116" i="2"/>
  <c r="D120" i="2" s="1"/>
  <c r="D122" i="2" s="1"/>
  <c r="F95" i="2"/>
  <c r="E116" i="2"/>
  <c r="E94" i="2"/>
  <c r="F94" i="2" s="1"/>
  <c r="E105" i="2" l="1"/>
  <c r="F6" i="2"/>
  <c r="F105" i="2"/>
  <c r="F116" i="2"/>
  <c r="E107" i="2"/>
  <c r="E120" i="2"/>
  <c r="F120" i="2" l="1"/>
  <c r="E122" i="2"/>
  <c r="F122" i="2" s="1"/>
  <c r="G8" i="3"/>
  <c r="F107" i="2"/>
  <c r="H8" i="3" l="1"/>
  <c r="C6" i="4"/>
  <c r="G10" i="3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>ř.4040 FIN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ř. 4140 FIN
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0" authorId="0" shapeId="0">
      <text>
        <r>
          <rPr>
            <b/>
            <sz val="9"/>
            <color indexed="81"/>
            <rFont val="Tahoma"/>
            <charset val="1"/>
          </rPr>
          <t>5331 a 5336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6351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charset val="1"/>
          </rPr>
          <t>52xx, UZ 33xxx
5333
5339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<sst xmlns="http://schemas.openxmlformats.org/spreadsheetml/2006/main" count="269" uniqueCount="132">
  <si>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</si>
  <si>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</si>
  <si>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</si>
  <si>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</si>
  <si>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</si>
  <si>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</si>
  <si>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</si>
  <si>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</si>
  <si>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</si>
  <si>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* Konsolidace je očištění údajů o rozpočtu a skutečnosti o interní přesuny peněžních prostředků uvnitř organizace mezi jednotlivými účty.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</si>
  <si>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</si>
  <si>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</si>
  <si>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</si>
  <si>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</si>
  <si>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</si>
  <si>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</si>
  <si>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</si>
  <si>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</si>
  <si>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</si>
  <si>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</si>
  <si>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</si>
  <si>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</si>
  <si>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</si>
  <si>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</si>
  <si>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</si>
  <si>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</si>
  <si>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</si>
  <si>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</si>
  <si>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</si>
  <si>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</si>
  <si>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</si>
  <si>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</si>
  <si>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</si>
  <si>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</si>
  <si>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</si>
  <si>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</si>
  <si>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</si>
  <si>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</si>
  <si>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</si>
  <si>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</si>
  <si>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</si>
  <si>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</si>
  <si>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</si>
  <si>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</si>
  <si>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</si>
  <si>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</si>
  <si>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</si>
  <si>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</si>
  <si>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</si>
  <si>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</si>
  <si>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</si>
  <si>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</si>
  <si>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</si>
  <si>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</si>
  <si>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</si>
  <si>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</si>
  <si>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</si>
  <si>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</si>
  <si>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</si>
  <si>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</si>
  <si>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</si>
  <si>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</si>
  <si>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</si>
  <si>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</si>
  <si>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</si>
  <si>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</si>
  <si>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</si>
  <si>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</si>
  <si>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</si>
  <si>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</si>
  <si>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</si>
  <si>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</si>
  <si>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</si>
  <si>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</si>
  <si>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</si>
  <si>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</si>
  <si>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</si>
  <si>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</si>
  <si>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</si>
  <si>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</si>
  <si>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</si>
  <si>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</si>
  <si>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</si>
  <si>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</si>
  <si>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</si>
  <si>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</si>
  <si>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podpory řízení příspěvkových organizací</t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</si>
  <si>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</si>
  <si>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</si>
  <si>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</si>
  <si>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</si>
  <si>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</si>
  <si>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</si>
  <si>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</si>
  <si>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</si>
  <si>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</si>
  <si>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</si>
  <si>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30-78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</si>
  <si>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</si>
  <si>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</si>
  <si>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</si>
  <si>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</si>
  <si>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</si>
  <si>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</si>
  <si>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</si>
  <si>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</si>
  <si>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</si>
  <si>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</si>
  <si>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</si>
  <si>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</si>
  <si>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</si>
  <si>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</si>
  <si>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</si>
  <si>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</si>
  <si>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</si>
  <si>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</si>
  <si>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</si>
  <si>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</si>
  <si>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</si>
  <si>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</si>
  <si>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8 - Příjmů a výdajů vládního sektoru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</si>
  <si>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</si>
  <si>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</si>
  <si>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</si>
  <si>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</si>
  <si>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</si>
  <si>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</si>
  <si>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</si>
  <si>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1. Plnění rozpočtu příjmů Olomouckého kraje k 31. 7. 2018</t>
  </si>
  <si>
    <t>2. Plnění rozpočtu výdajů Olomouckého kraje k 31. 7. 2018</t>
  </si>
  <si>
    <t>3. Financování Olomouckého kraje k 31. 7. 2018</t>
  </si>
  <si>
    <t>Rekapitulace k 31. 7.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</si>
</sst>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400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164" fontId="7" fillId="7" borderId="21" xfId="0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0" fillId="0" borderId="5" xfId="2" applyFont="1" applyFill="1" applyBorder="1"/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0" fillId="0" borderId="8" xfId="2" applyFont="1" applyFill="1" applyBorder="1"/>
    <xf numFmtId="0" fontId="13" fillId="0" borderId="5" xfId="1" applyFont="1" applyFill="1" applyBorder="1" applyAlignment="1">
      <alignment wrapText="1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164" fontId="7" fillId="7" borderId="24" xfId="0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16" xfId="1" applyNumberFormat="1" applyFont="1" applyFill="1" applyBorder="1"/>
    <xf numFmtId="3" fontId="20" fillId="0" borderId="6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13" fillId="0" borderId="55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13" fillId="0" borderId="24" xfId="0" applyFont="1" applyFill="1" applyBorder="1" applyAlignment="1">
      <alignment horizontal="right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13804606</c:v>
                </c:pt>
                <c:pt idx="1">
                  <c:v>15289579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9515139</c:v>
                </c:pt>
                <c:pt idx="1">
                  <c:v>9241200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13804606</c:v>
                </c:pt>
                <c:pt idx="1">
                  <c:v>15289579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9515139</c:v>
                </c:pt>
                <c:pt idx="1">
                  <c:v>9241200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4886711</c:v>
                </c:pt>
                <c:pt idx="1">
                  <c:v>5435752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13804606</c:v>
                </c:pt>
                <c:pt idx="1">
                  <c:v>15289579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9515139</c:v>
                </c:pt>
                <c:pt idx="1">
                  <c:v>9241200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D15" sqref="D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368" t="s">
        <v>128</v>
      </c>
      <c r="B1" s="368"/>
      <c r="C1" s="368"/>
      <c r="D1" s="368"/>
      <c r="E1" s="368"/>
    </row>
    <row r="3" spans="1:7" x14ac:dyDescent="0.2">
      <c r="A3" s="366" t="s">
        <v>96</v>
      </c>
      <c r="B3" s="366"/>
      <c r="C3" s="366"/>
      <c r="D3" s="366"/>
      <c r="E3" s="366"/>
    </row>
    <row r="4" spans="1:7" ht="30.75" customHeight="1" x14ac:dyDescent="0.2">
      <c r="A4" s="366"/>
      <c r="B4" s="366"/>
      <c r="C4" s="366"/>
      <c r="D4" s="366"/>
      <c r="E4" s="366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4" t="s">
        <v>1</v>
      </c>
      <c r="B7" s="265" t="s">
        <v>12</v>
      </c>
      <c r="C7" s="265" t="s">
        <v>13</v>
      </c>
      <c r="D7" s="265" t="s">
        <v>4</v>
      </c>
      <c r="E7" s="266" t="s">
        <v>5</v>
      </c>
    </row>
    <row r="8" spans="1:7" s="4" customFormat="1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8" t="s">
        <v>98</v>
      </c>
    </row>
    <row r="9" spans="1:7" ht="18.95" customHeight="1" thickTop="1" x14ac:dyDescent="0.2">
      <c r="A9" s="223" t="s">
        <v>104</v>
      </c>
      <c r="B9" s="227">
        <v>4428330</v>
      </c>
      <c r="C9" s="232">
        <v>4439507</v>
      </c>
      <c r="D9" s="232">
        <v>2756406</v>
      </c>
      <c r="E9" s="80">
        <f>(D9/C9)*100</f>
        <v>62.088110233861549</v>
      </c>
    </row>
    <row r="10" spans="1:7" ht="18.95" customHeight="1" x14ac:dyDescent="0.2">
      <c r="A10" s="223" t="s">
        <v>105</v>
      </c>
      <c r="B10" s="228">
        <v>366040</v>
      </c>
      <c r="C10" s="232">
        <v>522516</v>
      </c>
      <c r="D10" s="232">
        <v>371101</v>
      </c>
      <c r="E10" s="81">
        <f t="shared" ref="E10:E15" si="0">(D10/C10)*100</f>
        <v>71.021939998009628</v>
      </c>
    </row>
    <row r="11" spans="1:7" ht="18.95" customHeight="1" x14ac:dyDescent="0.2">
      <c r="A11" s="299" t="s">
        <v>106</v>
      </c>
      <c r="B11" s="228">
        <v>7138</v>
      </c>
      <c r="C11" s="232">
        <v>7138</v>
      </c>
      <c r="D11" s="232">
        <v>4094</v>
      </c>
      <c r="E11" s="81">
        <f t="shared" si="0"/>
        <v>57.355001400952645</v>
      </c>
    </row>
    <row r="12" spans="1:7" ht="18.95" customHeight="1" x14ac:dyDescent="0.2">
      <c r="A12" s="224" t="s">
        <v>107</v>
      </c>
      <c r="B12" s="229">
        <v>94619</v>
      </c>
      <c r="C12" s="233">
        <v>8845011</v>
      </c>
      <c r="D12" s="233">
        <v>17543758</v>
      </c>
      <c r="E12" s="81">
        <f t="shared" si="0"/>
        <v>198.34636723459133</v>
      </c>
      <c r="G12" s="11"/>
    </row>
    <row r="13" spans="1:7" ht="18.95" customHeight="1" x14ac:dyDescent="0.25">
      <c r="A13" s="12" t="s">
        <v>8</v>
      </c>
      <c r="B13" s="230">
        <f>SUM(B9:B12)</f>
        <v>4896127</v>
      </c>
      <c r="C13" s="234">
        <f>SUM(C9:C12)</f>
        <v>13814172</v>
      </c>
      <c r="D13" s="234">
        <f>SUM(D9:D12)</f>
        <v>20675359</v>
      </c>
      <c r="E13" s="83">
        <f t="shared" si="0"/>
        <v>149.66773976753728</v>
      </c>
    </row>
    <row r="14" spans="1:7" s="6" customFormat="1" ht="21.75" customHeight="1" x14ac:dyDescent="0.2">
      <c r="A14" s="7" t="s">
        <v>108</v>
      </c>
      <c r="B14" s="227">
        <v>9416</v>
      </c>
      <c r="C14" s="235">
        <v>9566</v>
      </c>
      <c r="D14" s="232">
        <v>11160220</v>
      </c>
      <c r="E14" s="81">
        <f t="shared" si="0"/>
        <v>116665.48191511603</v>
      </c>
    </row>
    <row r="15" spans="1:7" s="6" customFormat="1" ht="45.75" customHeight="1" thickBot="1" x14ac:dyDescent="0.3">
      <c r="A15" s="8" t="s">
        <v>7</v>
      </c>
      <c r="B15" s="231">
        <f>B13-B14</f>
        <v>4886711</v>
      </c>
      <c r="C15" s="236">
        <f>C13-C14</f>
        <v>13804606</v>
      </c>
      <c r="D15" s="236">
        <f>D13-D14</f>
        <v>9515139</v>
      </c>
      <c r="E15" s="82">
        <f t="shared" si="0"/>
        <v>68.927276881353947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367" t="s">
        <v>9</v>
      </c>
      <c r="B17" s="367"/>
      <c r="C17" s="367"/>
      <c r="D17" s="367"/>
      <c r="E17" s="367"/>
    </row>
    <row r="18" spans="1:7" x14ac:dyDescent="0.2">
      <c r="A18" s="367"/>
      <c r="B18" s="367"/>
      <c r="C18" s="367"/>
      <c r="D18" s="367"/>
      <c r="E18" s="367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</row>
    <row r="24" spans="1:7" ht="21.75" customHeight="1" x14ac:dyDescent="0.2">
      <c r="B24" s="263"/>
      <c r="C24" s="263"/>
      <c r="D24" s="263"/>
    </row>
    <row r="25" spans="1:7" ht="28.5" customHeight="1" x14ac:dyDescent="0.2">
      <c r="B25" s="263"/>
      <c r="C25" s="263"/>
      <c r="D25" s="263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2" orientation="portrait" cellComments="asDisplayed" useFirstPageNumber="1" r:id="rId1"/>
  <headerFooter alignWithMargins="0">
    <oddFooter xml:space="preserve">&amp;L&amp;"Arial CE,Kurzíva"Zastupitelstvo Olomouckého kraje 17. 9. 2018
7.2. - Rozpočet Olomouckého kraje 2018 - plnění rozpočtu k 31. 7. 2018
Příloha č. 1 - Plnění rozpočtu Olomouckého kraje k 31. 7. 2018&amp;R&amp;"Arial CE,Kurzíva"Strana &amp;P (Celkem 6)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3"/>
  <sheetViews>
    <sheetView showGridLines="0" view="pageBreakPreview" topLeftCell="A98" zoomScale="110" zoomScaleNormal="100" zoomScaleSheetLayoutView="110" workbookViewId="0">
      <selection activeCell="E94" sqref="E94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3" t="s">
        <v>129</v>
      </c>
      <c r="B1" s="374"/>
      <c r="C1" s="374"/>
      <c r="D1" s="374"/>
      <c r="E1" s="374"/>
      <c r="F1" s="374"/>
      <c r="G1" s="14"/>
      <c r="H1" s="14"/>
      <c r="I1" s="14"/>
      <c r="K1" s="16"/>
    </row>
    <row r="2" spans="1:14" ht="23.25" x14ac:dyDescent="0.35">
      <c r="A2" s="375"/>
      <c r="B2" s="375"/>
      <c r="C2" s="375"/>
      <c r="D2" s="375"/>
      <c r="E2" s="375"/>
      <c r="F2" s="375"/>
      <c r="G2" s="18"/>
      <c r="H2" s="18"/>
      <c r="I2" s="18"/>
      <c r="K2" s="16"/>
    </row>
    <row r="3" spans="1:14" ht="15" thickBot="1" x14ac:dyDescent="0.25">
      <c r="F3" s="298" t="s">
        <v>0</v>
      </c>
      <c r="G3" s="23"/>
      <c r="H3" s="23"/>
      <c r="I3" s="23"/>
    </row>
    <row r="4" spans="1:14" s="25" customFormat="1" ht="24" thickTop="1" thickBot="1" x14ac:dyDescent="0.25">
      <c r="A4" s="269" t="s">
        <v>10</v>
      </c>
      <c r="B4" s="270" t="s">
        <v>11</v>
      </c>
      <c r="C4" s="271" t="s">
        <v>12</v>
      </c>
      <c r="D4" s="271" t="s">
        <v>13</v>
      </c>
      <c r="E4" s="271" t="s">
        <v>4</v>
      </c>
      <c r="F4" s="272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7">
        <v>1</v>
      </c>
      <c r="B5" s="265">
        <v>2</v>
      </c>
      <c r="C5" s="265">
        <v>3</v>
      </c>
      <c r="D5" s="265">
        <v>4</v>
      </c>
      <c r="E5" s="265">
        <v>5</v>
      </c>
      <c r="F5" s="273" t="s">
        <v>99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329" t="s">
        <v>14</v>
      </c>
      <c r="B6" s="113">
        <v>1</v>
      </c>
      <c r="C6" s="86">
        <f>SUM(C7:C9)</f>
        <v>35041</v>
      </c>
      <c r="D6" s="86">
        <f t="shared" ref="D6:E6" si="0">SUM(D7:D9)</f>
        <v>35095</v>
      </c>
      <c r="E6" s="86">
        <f t="shared" si="0"/>
        <v>15954</v>
      </c>
      <c r="F6" s="349">
        <f t="shared" ref="F6:F33" si="1">(E6/D6)*100</f>
        <v>45.459467160564181</v>
      </c>
      <c r="G6" s="27"/>
      <c r="H6" s="27"/>
      <c r="I6" s="27"/>
      <c r="J6" s="193"/>
      <c r="K6" s="67"/>
      <c r="N6" s="251"/>
    </row>
    <row r="7" spans="1:14" s="32" customFormat="1" x14ac:dyDescent="0.2">
      <c r="A7" s="28" t="s">
        <v>111</v>
      </c>
      <c r="B7" s="313"/>
      <c r="C7" s="30">
        <f>35041-C9</f>
        <v>34544</v>
      </c>
      <c r="D7" s="30">
        <f>34997-D9</f>
        <v>34500</v>
      </c>
      <c r="E7" s="30">
        <f>15866-E9</f>
        <v>15655</v>
      </c>
      <c r="F7" s="350">
        <f t="shared" si="1"/>
        <v>45.376811594202898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109</v>
      </c>
      <c r="B8" s="308"/>
      <c r="C8" s="30">
        <v>0</v>
      </c>
      <c r="D8" s="30">
        <v>98</v>
      </c>
      <c r="E8" s="30">
        <v>88</v>
      </c>
      <c r="F8" s="350">
        <f t="shared" si="1"/>
        <v>89.795918367346943</v>
      </c>
      <c r="G8" s="31"/>
      <c r="H8" s="31"/>
      <c r="I8" s="31"/>
      <c r="J8" s="193"/>
      <c r="K8" s="55"/>
      <c r="N8" s="33"/>
    </row>
    <row r="9" spans="1:14" s="32" customFormat="1" x14ac:dyDescent="0.2">
      <c r="A9" s="322" t="s">
        <v>110</v>
      </c>
      <c r="B9" s="316"/>
      <c r="C9" s="351">
        <v>497</v>
      </c>
      <c r="D9" s="351">
        <v>497</v>
      </c>
      <c r="E9" s="351">
        <v>211</v>
      </c>
      <c r="F9" s="309">
        <f t="shared" si="1"/>
        <v>42.454728370221332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17" t="s">
        <v>87</v>
      </c>
      <c r="B10" s="330">
        <v>3</v>
      </c>
      <c r="C10" s="352">
        <f>SUM(C11:C14)</f>
        <v>366569</v>
      </c>
      <c r="D10" s="352">
        <f t="shared" ref="D10:E10" si="2">SUM(D11:D14)</f>
        <v>381073</v>
      </c>
      <c r="E10" s="352">
        <f t="shared" si="2"/>
        <v>182343</v>
      </c>
      <c r="F10" s="349">
        <f t="shared" si="1"/>
        <v>47.84988702951928</v>
      </c>
      <c r="G10" s="252"/>
      <c r="H10" s="27"/>
      <c r="I10" s="27"/>
      <c r="J10" s="27"/>
      <c r="K10" s="67"/>
      <c r="N10" s="36"/>
    </row>
    <row r="11" spans="1:14" s="35" customFormat="1" x14ac:dyDescent="0.2">
      <c r="A11" s="28" t="s">
        <v>111</v>
      </c>
      <c r="B11" s="37"/>
      <c r="C11" s="30">
        <f>364269-C14</f>
        <v>355350</v>
      </c>
      <c r="D11" s="30">
        <f>378683-D14</f>
        <v>369614</v>
      </c>
      <c r="E11" s="30">
        <f>182054-E14</f>
        <v>177633</v>
      </c>
      <c r="F11" s="350">
        <f t="shared" si="1"/>
        <v>48.059056204580997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109</v>
      </c>
      <c r="B12" s="37"/>
      <c r="C12" s="30">
        <v>2300</v>
      </c>
      <c r="D12" s="30">
        <v>2390</v>
      </c>
      <c r="E12" s="30">
        <v>289</v>
      </c>
      <c r="F12" s="350">
        <f>(E12/D12)*100</f>
        <v>12.092050209205022</v>
      </c>
      <c r="G12" s="31"/>
      <c r="H12" s="31"/>
      <c r="I12" s="31"/>
      <c r="J12" s="31"/>
      <c r="K12" s="55"/>
      <c r="N12" s="36"/>
    </row>
    <row r="13" spans="1:14" s="32" customFormat="1" hidden="1" x14ac:dyDescent="0.2">
      <c r="A13" s="314" t="s">
        <v>112</v>
      </c>
      <c r="B13" s="313"/>
      <c r="C13" s="30"/>
      <c r="D13" s="30"/>
      <c r="E13" s="30"/>
      <c r="F13" s="350" t="e">
        <f t="shared" si="1"/>
        <v>#DIV/0!</v>
      </c>
      <c r="G13" s="31"/>
      <c r="H13" s="31"/>
      <c r="I13" s="31"/>
      <c r="J13" s="31"/>
      <c r="K13" s="55"/>
      <c r="N13" s="33"/>
    </row>
    <row r="14" spans="1:14" s="32" customFormat="1" x14ac:dyDescent="0.2">
      <c r="A14" s="322" t="s">
        <v>110</v>
      </c>
      <c r="B14" s="313"/>
      <c r="C14" s="30">
        <v>8919</v>
      </c>
      <c r="D14" s="30">
        <v>9069</v>
      </c>
      <c r="E14" s="30">
        <v>4421</v>
      </c>
      <c r="F14" s="309">
        <f t="shared" si="1"/>
        <v>48.748483846069021</v>
      </c>
      <c r="G14" s="31"/>
      <c r="H14" s="31"/>
      <c r="I14" s="31"/>
      <c r="J14" s="31"/>
      <c r="K14" s="55"/>
      <c r="N14" s="33"/>
    </row>
    <row r="15" spans="1:14" s="35" customFormat="1" ht="16.5" customHeight="1" x14ac:dyDescent="0.25">
      <c r="A15" s="326" t="s">
        <v>88</v>
      </c>
      <c r="B15" s="330">
        <v>4</v>
      </c>
      <c r="C15" s="352">
        <f>SUM(C16:C17)</f>
        <v>10786</v>
      </c>
      <c r="D15" s="352">
        <f t="shared" ref="D15:E15" si="3">SUM(D16:D17)</f>
        <v>12975</v>
      </c>
      <c r="E15" s="352">
        <f t="shared" si="3"/>
        <v>6692</v>
      </c>
      <c r="F15" s="349">
        <f t="shared" si="1"/>
        <v>51.576107899807319</v>
      </c>
      <c r="G15" s="252"/>
      <c r="H15" s="27"/>
      <c r="I15" s="27"/>
      <c r="J15" s="27"/>
      <c r="K15" s="67"/>
      <c r="N15" s="36"/>
    </row>
    <row r="16" spans="1:14" s="35" customFormat="1" x14ac:dyDescent="0.2">
      <c r="A16" s="28" t="s">
        <v>111</v>
      </c>
      <c r="B16" s="37"/>
      <c r="C16" s="30">
        <v>2525</v>
      </c>
      <c r="D16" s="30">
        <v>3108</v>
      </c>
      <c r="E16" s="30">
        <v>1354</v>
      </c>
      <c r="F16" s="350">
        <f t="shared" si="1"/>
        <v>43.564993564993564</v>
      </c>
      <c r="G16" s="31"/>
      <c r="H16" s="31"/>
      <c r="I16" s="31"/>
      <c r="J16" s="31"/>
      <c r="K16" s="55"/>
      <c r="N16" s="36"/>
    </row>
    <row r="17" spans="1:14" s="35" customFormat="1" x14ac:dyDescent="0.2">
      <c r="A17" s="28" t="s">
        <v>109</v>
      </c>
      <c r="B17" s="37"/>
      <c r="C17" s="30">
        <v>8261</v>
      </c>
      <c r="D17" s="30">
        <v>9867</v>
      </c>
      <c r="E17" s="30">
        <v>5338</v>
      </c>
      <c r="F17" s="309">
        <f t="shared" si="1"/>
        <v>54.099523664741056</v>
      </c>
      <c r="G17" s="31"/>
      <c r="H17" s="31"/>
      <c r="I17" s="31"/>
      <c r="J17" s="31"/>
      <c r="K17" s="55"/>
      <c r="N17" s="36"/>
    </row>
    <row r="18" spans="1:14" s="35" customFormat="1" ht="15" x14ac:dyDescent="0.25">
      <c r="A18" s="317" t="s">
        <v>122</v>
      </c>
      <c r="B18" s="330">
        <v>6</v>
      </c>
      <c r="C18" s="352">
        <f>SUM(C19:C20)</f>
        <v>31433</v>
      </c>
      <c r="D18" s="352">
        <f>SUM(D19:D20)</f>
        <v>37703</v>
      </c>
      <c r="E18" s="352">
        <f>SUM(E19:E20)</f>
        <v>19013</v>
      </c>
      <c r="F18" s="349">
        <f t="shared" ref="F18" si="4">(E18/D18)*100</f>
        <v>50.428347876826777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111</v>
      </c>
      <c r="B19" s="37"/>
      <c r="C19" s="30">
        <v>29261</v>
      </c>
      <c r="D19" s="30">
        <v>30131</v>
      </c>
      <c r="E19" s="30">
        <v>15082</v>
      </c>
      <c r="F19" s="350">
        <f>(E19/D19)*100</f>
        <v>50.054760877501579</v>
      </c>
      <c r="G19" s="31"/>
      <c r="H19" s="31"/>
      <c r="I19" s="31"/>
      <c r="J19" s="31"/>
      <c r="K19" s="55"/>
      <c r="N19" s="36"/>
    </row>
    <row r="20" spans="1:14" s="35" customFormat="1" x14ac:dyDescent="0.2">
      <c r="A20" s="28" t="s">
        <v>109</v>
      </c>
      <c r="B20" s="37"/>
      <c r="C20" s="30">
        <v>2172</v>
      </c>
      <c r="D20" s="30">
        <v>7572</v>
      </c>
      <c r="E20" s="30">
        <v>3931</v>
      </c>
      <c r="F20" s="309">
        <f t="shared" ref="F20" si="5">(E20/D20)*100</f>
        <v>51.914949815108294</v>
      </c>
      <c r="G20" s="31"/>
      <c r="H20" s="31"/>
      <c r="I20" s="31"/>
      <c r="J20" s="31"/>
      <c r="K20" s="55"/>
      <c r="N20" s="36"/>
    </row>
    <row r="21" spans="1:14" s="35" customFormat="1" ht="15" x14ac:dyDescent="0.25">
      <c r="A21" s="317" t="s">
        <v>20</v>
      </c>
      <c r="B21" s="330">
        <v>7</v>
      </c>
      <c r="C21" s="352">
        <f>SUM(C22:C25)</f>
        <v>140548</v>
      </c>
      <c r="D21" s="352">
        <f>SUM(D22:D25)</f>
        <v>334730</v>
      </c>
      <c r="E21" s="352">
        <f t="shared" ref="E21" si="6">SUM(E22:E25)</f>
        <v>10601254</v>
      </c>
      <c r="F21" s="349">
        <f t="shared" si="1"/>
        <v>3167.106025752099</v>
      </c>
      <c r="G21" s="27"/>
      <c r="H21" s="27"/>
      <c r="I21" s="27"/>
      <c r="J21" s="27"/>
      <c r="K21" s="67"/>
      <c r="N21" s="36"/>
    </row>
    <row r="22" spans="1:14" s="35" customFormat="1" x14ac:dyDescent="0.2">
      <c r="A22" s="28" t="s">
        <v>111</v>
      </c>
      <c r="B22" s="37"/>
      <c r="C22" s="30">
        <f>140548-C25-C24</f>
        <v>105204</v>
      </c>
      <c r="D22" s="30">
        <f>334730-D25-D24</f>
        <v>318028</v>
      </c>
      <c r="E22" s="30">
        <f>10601254-E25-E24</f>
        <v>47927</v>
      </c>
      <c r="F22" s="350">
        <f>(E22/D22)*100</f>
        <v>15.070056724565134</v>
      </c>
      <c r="G22" s="88"/>
      <c r="H22" s="31"/>
      <c r="I22" s="31"/>
      <c r="J22" s="31"/>
      <c r="K22" s="55"/>
      <c r="N22" s="36"/>
    </row>
    <row r="23" spans="1:14" s="35" customFormat="1" x14ac:dyDescent="0.2">
      <c r="A23" s="28" t="s">
        <v>109</v>
      </c>
      <c r="B23" s="37"/>
      <c r="C23" s="30">
        <v>0</v>
      </c>
      <c r="D23" s="30">
        <v>0</v>
      </c>
      <c r="E23" s="30">
        <v>0</v>
      </c>
      <c r="F23" s="350">
        <v>0</v>
      </c>
      <c r="G23" s="31"/>
      <c r="H23" s="31"/>
      <c r="I23" s="31"/>
      <c r="J23" s="31"/>
      <c r="K23" s="55"/>
      <c r="N23" s="36"/>
    </row>
    <row r="24" spans="1:14" s="32" customFormat="1" x14ac:dyDescent="0.2">
      <c r="A24" s="314" t="s">
        <v>112</v>
      </c>
      <c r="B24" s="313"/>
      <c r="C24" s="30">
        <v>35344</v>
      </c>
      <c r="D24" s="30">
        <v>16702</v>
      </c>
      <c r="E24" s="30">
        <v>0</v>
      </c>
      <c r="F24" s="350">
        <f t="shared" ref="F24" si="7">(E24/D24)*100</f>
        <v>0</v>
      </c>
      <c r="G24" s="31"/>
      <c r="H24" s="31"/>
      <c r="I24" s="31"/>
      <c r="J24" s="31"/>
      <c r="K24" s="55"/>
      <c r="N24" s="33"/>
    </row>
    <row r="25" spans="1:14" s="32" customFormat="1" x14ac:dyDescent="0.2">
      <c r="A25" s="322" t="s">
        <v>110</v>
      </c>
      <c r="B25" s="316"/>
      <c r="C25" s="351">
        <v>0</v>
      </c>
      <c r="D25" s="351">
        <v>0</v>
      </c>
      <c r="E25" s="351">
        <v>10553327</v>
      </c>
      <c r="F25" s="309">
        <v>0</v>
      </c>
      <c r="G25" s="31"/>
      <c r="H25" s="31"/>
      <c r="I25" s="31"/>
      <c r="J25" s="31"/>
      <c r="K25" s="55"/>
      <c r="N25" s="33"/>
    </row>
    <row r="26" spans="1:14" s="35" customFormat="1" ht="15" x14ac:dyDescent="0.25">
      <c r="A26" s="331" t="s">
        <v>89</v>
      </c>
      <c r="B26" s="37">
        <v>8</v>
      </c>
      <c r="C26" s="353">
        <f>SUM(C27:C29)</f>
        <v>47556</v>
      </c>
      <c r="D26" s="353">
        <f t="shared" ref="D26:E26" si="8">SUM(D27:D29)</f>
        <v>60550</v>
      </c>
      <c r="E26" s="353">
        <f t="shared" si="8"/>
        <v>31384</v>
      </c>
      <c r="F26" s="349">
        <f>(E26/D26)*100</f>
        <v>51.831544178364986</v>
      </c>
      <c r="G26" s="27"/>
      <c r="H26" s="27"/>
      <c r="I26" s="27"/>
      <c r="J26" s="27"/>
      <c r="K26" s="67"/>
      <c r="N26" s="36"/>
    </row>
    <row r="27" spans="1:14" s="35" customFormat="1" x14ac:dyDescent="0.2">
      <c r="A27" s="28" t="s">
        <v>111</v>
      </c>
      <c r="B27" s="37"/>
      <c r="C27" s="30">
        <f>47556-C29-C28</f>
        <v>11103</v>
      </c>
      <c r="D27" s="30">
        <f>60550-D29-D28</f>
        <v>11362</v>
      </c>
      <c r="E27" s="30">
        <f>31384-E29-E28</f>
        <v>2821</v>
      </c>
      <c r="F27" s="350">
        <f t="shared" si="1"/>
        <v>24.82837528604119</v>
      </c>
      <c r="G27" s="31"/>
      <c r="H27" s="31"/>
      <c r="I27" s="31"/>
      <c r="J27" s="31"/>
      <c r="K27" s="55"/>
      <c r="N27" s="36"/>
    </row>
    <row r="28" spans="1:14" s="35" customFormat="1" x14ac:dyDescent="0.2">
      <c r="A28" s="28" t="s">
        <v>109</v>
      </c>
      <c r="B28" s="37"/>
      <c r="C28" s="30">
        <v>128</v>
      </c>
      <c r="D28" s="30">
        <v>128</v>
      </c>
      <c r="E28" s="30">
        <v>128</v>
      </c>
      <c r="F28" s="350">
        <f t="shared" si="1"/>
        <v>100</v>
      </c>
      <c r="G28" s="31"/>
      <c r="H28" s="31"/>
      <c r="I28" s="31"/>
      <c r="J28" s="31"/>
      <c r="K28" s="55"/>
      <c r="N28" s="36"/>
    </row>
    <row r="29" spans="1:14" s="32" customFormat="1" x14ac:dyDescent="0.2">
      <c r="A29" s="322" t="s">
        <v>112</v>
      </c>
      <c r="B29" s="316"/>
      <c r="C29" s="351">
        <v>36325</v>
      </c>
      <c r="D29" s="351">
        <v>49060</v>
      </c>
      <c r="E29" s="351">
        <v>28435</v>
      </c>
      <c r="F29" s="309">
        <f t="shared" si="1"/>
        <v>57.959641255605376</v>
      </c>
      <c r="G29" s="31"/>
      <c r="H29" s="31"/>
      <c r="I29" s="31"/>
      <c r="J29" s="193"/>
      <c r="K29" s="55"/>
      <c r="N29" s="33"/>
    </row>
    <row r="30" spans="1:14" ht="15" customHeight="1" x14ac:dyDescent="0.25">
      <c r="A30" s="331" t="s">
        <v>21</v>
      </c>
      <c r="B30" s="37">
        <v>9</v>
      </c>
      <c r="C30" s="353">
        <f>SUM(C31:C33)</f>
        <v>33710</v>
      </c>
      <c r="D30" s="353">
        <f t="shared" ref="D30" si="9">SUM(D31:D33)</f>
        <v>47747</v>
      </c>
      <c r="E30" s="353">
        <f>SUM(E31:E33)</f>
        <v>-2907</v>
      </c>
      <c r="F30" s="349">
        <f t="shared" si="1"/>
        <v>-6.0883406287306006</v>
      </c>
      <c r="G30" s="252"/>
      <c r="H30" s="27"/>
      <c r="I30" s="27"/>
      <c r="J30" s="193"/>
      <c r="K30" s="67"/>
    </row>
    <row r="31" spans="1:14" ht="15" customHeight="1" x14ac:dyDescent="0.2">
      <c r="A31" s="28" t="s">
        <v>111</v>
      </c>
      <c r="B31" s="37"/>
      <c r="C31" s="354">
        <f>33710-C33</f>
        <v>5472</v>
      </c>
      <c r="D31" s="354">
        <f>38451-D33</f>
        <v>6601</v>
      </c>
      <c r="E31" s="354">
        <f>-2907-E33</f>
        <v>-3266</v>
      </c>
      <c r="F31" s="350">
        <f t="shared" si="1"/>
        <v>-49.477351916376307</v>
      </c>
      <c r="G31" s="31"/>
      <c r="H31" s="31"/>
      <c r="I31" s="31"/>
      <c r="J31" s="193"/>
      <c r="K31" s="55"/>
    </row>
    <row r="32" spans="1:14" ht="15" customHeight="1" x14ac:dyDescent="0.2">
      <c r="A32" s="28" t="s">
        <v>109</v>
      </c>
      <c r="B32" s="37"/>
      <c r="C32" s="30">
        <v>0</v>
      </c>
      <c r="D32" s="354">
        <v>9296</v>
      </c>
      <c r="E32" s="30">
        <v>0</v>
      </c>
      <c r="F32" s="350">
        <v>0</v>
      </c>
      <c r="G32" s="31"/>
      <c r="H32" s="31"/>
      <c r="I32" s="88"/>
      <c r="J32" s="88"/>
      <c r="K32" s="55"/>
    </row>
    <row r="33" spans="1:15" s="32" customFormat="1" x14ac:dyDescent="0.2">
      <c r="A33" s="322" t="s">
        <v>112</v>
      </c>
      <c r="B33" s="316"/>
      <c r="C33" s="351">
        <v>28238</v>
      </c>
      <c r="D33" s="355">
        <v>31850</v>
      </c>
      <c r="E33" s="355">
        <v>359</v>
      </c>
      <c r="F33" s="350">
        <f t="shared" si="1"/>
        <v>1.1271585557299841</v>
      </c>
      <c r="G33" s="31"/>
      <c r="H33" s="253"/>
      <c r="I33" s="253"/>
      <c r="J33" s="253"/>
      <c r="K33" s="55"/>
      <c r="N33" s="33"/>
    </row>
    <row r="34" spans="1:15" s="48" customFormat="1" ht="15" x14ac:dyDescent="0.25">
      <c r="A34" s="326" t="s">
        <v>101</v>
      </c>
      <c r="B34" s="327">
        <v>10</v>
      </c>
      <c r="C34" s="352">
        <f>C35+C39+C42</f>
        <v>20188</v>
      </c>
      <c r="D34" s="352">
        <f>D35+D39+D42</f>
        <v>7085446</v>
      </c>
      <c r="E34" s="352">
        <f>E35+E39+E42</f>
        <v>4777037</v>
      </c>
      <c r="F34" s="356">
        <f t="shared" ref="F34:F60" si="10">(E34/D34)*100</f>
        <v>67.420413619693093</v>
      </c>
      <c r="G34" s="27"/>
      <c r="H34" s="67"/>
      <c r="I34" s="67"/>
      <c r="J34" s="193"/>
      <c r="K34" s="67"/>
      <c r="N34" s="254"/>
    </row>
    <row r="35" spans="1:15" s="48" customFormat="1" x14ac:dyDescent="0.2">
      <c r="A35" s="312" t="s">
        <v>22</v>
      </c>
      <c r="B35" s="311"/>
      <c r="C35" s="357">
        <f>C36+C37+C38</f>
        <v>12890</v>
      </c>
      <c r="D35" s="357">
        <f>D36+D37+D38</f>
        <v>40158</v>
      </c>
      <c r="E35" s="357">
        <f>E36+E37+E38</f>
        <v>32556</v>
      </c>
      <c r="F35" s="350">
        <f t="shared" si="10"/>
        <v>81.069774391154937</v>
      </c>
      <c r="G35" s="31"/>
      <c r="H35" s="31"/>
      <c r="I35" s="31"/>
      <c r="J35" s="69"/>
      <c r="K35" s="255"/>
      <c r="L35" s="76"/>
      <c r="M35" s="76"/>
      <c r="N35" s="69"/>
      <c r="O35" s="76"/>
    </row>
    <row r="36" spans="1:15" s="48" customFormat="1" x14ac:dyDescent="0.2">
      <c r="A36" s="28" t="s">
        <v>111</v>
      </c>
      <c r="B36" s="332"/>
      <c r="C36" s="30">
        <v>1325</v>
      </c>
      <c r="D36" s="30">
        <v>9614</v>
      </c>
      <c r="E36" s="30">
        <v>8571</v>
      </c>
      <c r="F36" s="350">
        <f t="shared" si="10"/>
        <v>89.151237778240073</v>
      </c>
      <c r="G36" s="31"/>
      <c r="H36" s="31"/>
      <c r="I36" s="31"/>
      <c r="J36" s="69"/>
      <c r="K36" s="55"/>
      <c r="L36" s="41"/>
      <c r="M36" s="76"/>
      <c r="N36" s="69"/>
      <c r="O36" s="76"/>
    </row>
    <row r="37" spans="1:15" s="48" customFormat="1" x14ac:dyDescent="0.2">
      <c r="A37" s="28" t="s">
        <v>109</v>
      </c>
      <c r="B37" s="333"/>
      <c r="C37" s="30">
        <v>0</v>
      </c>
      <c r="D37" s="30">
        <v>0</v>
      </c>
      <c r="E37" s="30">
        <v>0</v>
      </c>
      <c r="F37" s="350">
        <v>0</v>
      </c>
      <c r="G37" s="31"/>
      <c r="H37" s="31"/>
      <c r="I37" s="31"/>
      <c r="J37" s="69"/>
      <c r="K37" s="55"/>
      <c r="L37" s="256"/>
      <c r="M37" s="76"/>
      <c r="N37" s="69"/>
      <c r="O37" s="76"/>
    </row>
    <row r="38" spans="1:15" s="48" customFormat="1" x14ac:dyDescent="0.2">
      <c r="A38" s="314" t="s">
        <v>112</v>
      </c>
      <c r="B38" s="333"/>
      <c r="C38" s="30">
        <v>11565</v>
      </c>
      <c r="D38" s="30">
        <v>30544</v>
      </c>
      <c r="E38" s="30">
        <v>23985</v>
      </c>
      <c r="F38" s="350">
        <f t="shared" si="10"/>
        <v>78.526060764798316</v>
      </c>
      <c r="G38" s="31"/>
      <c r="H38" s="31"/>
      <c r="I38" s="31"/>
      <c r="J38" s="69"/>
      <c r="K38" s="55"/>
      <c r="L38" s="256"/>
      <c r="M38" s="76"/>
      <c r="N38" s="69"/>
      <c r="O38" s="76"/>
    </row>
    <row r="39" spans="1:15" s="48" customFormat="1" x14ac:dyDescent="0.2">
      <c r="A39" s="51" t="s">
        <v>23</v>
      </c>
      <c r="B39" s="333"/>
      <c r="C39" s="357">
        <f>C40+C41</f>
        <v>7298</v>
      </c>
      <c r="D39" s="357">
        <f>D40+D41</f>
        <v>2447007</v>
      </c>
      <c r="E39" s="357">
        <f>E40+E41</f>
        <v>1626078</v>
      </c>
      <c r="F39" s="350">
        <f t="shared" si="10"/>
        <v>66.451710191266315</v>
      </c>
      <c r="G39" s="31"/>
      <c r="H39" s="31"/>
      <c r="I39" s="31"/>
      <c r="J39" s="193"/>
      <c r="K39" s="255"/>
      <c r="L39" s="76"/>
      <c r="M39" s="76"/>
      <c r="N39" s="69"/>
      <c r="O39" s="76"/>
    </row>
    <row r="40" spans="1:15" s="48" customFormat="1" x14ac:dyDescent="0.2">
      <c r="A40" s="28" t="s">
        <v>111</v>
      </c>
      <c r="B40" s="333"/>
      <c r="C40" s="30">
        <v>7298</v>
      </c>
      <c r="D40" s="30">
        <v>2447007</v>
      </c>
      <c r="E40" s="30">
        <v>1626078</v>
      </c>
      <c r="F40" s="350">
        <f t="shared" si="10"/>
        <v>66.451710191266315</v>
      </c>
      <c r="G40" s="257"/>
      <c r="H40" s="257"/>
      <c r="I40" s="31"/>
      <c r="J40" s="193"/>
      <c r="K40" s="55"/>
      <c r="L40" s="76"/>
      <c r="M40" s="76"/>
      <c r="N40" s="69"/>
      <c r="O40" s="76"/>
    </row>
    <row r="41" spans="1:15" s="48" customFormat="1" x14ac:dyDescent="0.2">
      <c r="A41" s="28" t="s">
        <v>109</v>
      </c>
      <c r="B41" s="333"/>
      <c r="C41" s="30">
        <v>0</v>
      </c>
      <c r="D41" s="30">
        <v>0</v>
      </c>
      <c r="E41" s="30">
        <v>0</v>
      </c>
      <c r="F41" s="350">
        <v>0</v>
      </c>
      <c r="G41" s="31"/>
      <c r="H41" s="31"/>
      <c r="I41" s="31"/>
      <c r="J41" s="193"/>
      <c r="K41" s="55"/>
      <c r="L41" s="76"/>
      <c r="M41" s="76"/>
      <c r="N41" s="69"/>
      <c r="O41" s="76"/>
    </row>
    <row r="42" spans="1:15" s="48" customFormat="1" x14ac:dyDescent="0.2">
      <c r="A42" s="334" t="s">
        <v>121</v>
      </c>
      <c r="B42" s="333"/>
      <c r="C42" s="358">
        <f>C43+C44</f>
        <v>0</v>
      </c>
      <c r="D42" s="358">
        <f t="shared" ref="D42:E42" si="11">D43+D44</f>
        <v>4598281</v>
      </c>
      <c r="E42" s="358">
        <f t="shared" si="11"/>
        <v>3118403</v>
      </c>
      <c r="F42" s="359">
        <f t="shared" si="10"/>
        <v>67.816712375776945</v>
      </c>
      <c r="G42" s="31"/>
      <c r="H42" s="31"/>
      <c r="I42" s="31"/>
      <c r="J42" s="69"/>
      <c r="K42" s="255"/>
      <c r="L42" s="76"/>
      <c r="M42" s="76"/>
      <c r="N42" s="69"/>
      <c r="O42" s="76"/>
    </row>
    <row r="43" spans="1:15" s="48" customFormat="1" x14ac:dyDescent="0.2">
      <c r="A43" s="28" t="s">
        <v>111</v>
      </c>
      <c r="B43" s="333"/>
      <c r="C43" s="30">
        <f>0+0</f>
        <v>0</v>
      </c>
      <c r="D43" s="30">
        <v>4598281</v>
      </c>
      <c r="E43" s="30">
        <v>3118403</v>
      </c>
      <c r="F43" s="350">
        <f t="shared" si="10"/>
        <v>67.816712375776945</v>
      </c>
      <c r="G43" s="31"/>
      <c r="H43" s="31"/>
      <c r="I43" s="31"/>
      <c r="J43" s="31"/>
      <c r="K43" s="55"/>
      <c r="L43" s="76"/>
      <c r="M43" s="69"/>
      <c r="N43" s="69"/>
      <c r="O43" s="76"/>
    </row>
    <row r="44" spans="1:15" s="48" customFormat="1" x14ac:dyDescent="0.2">
      <c r="A44" s="315" t="s">
        <v>109</v>
      </c>
      <c r="B44" s="335"/>
      <c r="C44" s="351">
        <v>0</v>
      </c>
      <c r="D44" s="351">
        <v>0</v>
      </c>
      <c r="E44" s="351">
        <v>0</v>
      </c>
      <c r="F44" s="309">
        <v>0</v>
      </c>
      <c r="G44" s="31"/>
      <c r="H44" s="31"/>
      <c r="I44" s="166"/>
      <c r="J44" s="69"/>
      <c r="K44" s="55"/>
      <c r="L44" s="76"/>
      <c r="M44" s="69"/>
      <c r="N44" s="69"/>
      <c r="O44" s="76"/>
    </row>
    <row r="45" spans="1:15" ht="15" x14ac:dyDescent="0.25">
      <c r="A45" s="310" t="s">
        <v>24</v>
      </c>
      <c r="B45" s="311">
        <v>11</v>
      </c>
      <c r="C45" s="353">
        <f>C46+C50</f>
        <v>29771</v>
      </c>
      <c r="D45" s="353">
        <f>D46+D50</f>
        <v>1165949</v>
      </c>
      <c r="E45" s="353">
        <f>E46+E50</f>
        <v>1132621</v>
      </c>
      <c r="F45" s="349">
        <f t="shared" si="10"/>
        <v>97.141555934264716</v>
      </c>
      <c r="G45" s="252"/>
      <c r="H45" s="67"/>
      <c r="I45" s="67"/>
      <c r="J45" s="193"/>
      <c r="K45" s="67"/>
      <c r="L45" s="78"/>
      <c r="M45" s="78"/>
      <c r="N45" s="79"/>
      <c r="O45" s="78"/>
    </row>
    <row r="46" spans="1:15" s="32" customFormat="1" x14ac:dyDescent="0.2">
      <c r="A46" s="312" t="s">
        <v>22</v>
      </c>
      <c r="B46" s="313"/>
      <c r="C46" s="357">
        <f>C47+C48+C49</f>
        <v>29771</v>
      </c>
      <c r="D46" s="357">
        <f t="shared" ref="D46:E46" si="12">D47+D48+D49</f>
        <v>571765</v>
      </c>
      <c r="E46" s="357">
        <f t="shared" si="12"/>
        <v>538447</v>
      </c>
      <c r="F46" s="350">
        <f t="shared" si="10"/>
        <v>94.172780775318529</v>
      </c>
      <c r="G46" s="258"/>
      <c r="H46" s="258"/>
      <c r="I46" s="258"/>
      <c r="J46" s="193"/>
      <c r="K46" s="255"/>
      <c r="L46" s="53"/>
      <c r="M46" s="53"/>
      <c r="N46" s="54"/>
      <c r="O46" s="53"/>
    </row>
    <row r="47" spans="1:15" s="32" customFormat="1" x14ac:dyDescent="0.2">
      <c r="A47" s="28" t="s">
        <v>111</v>
      </c>
      <c r="B47" s="313"/>
      <c r="C47" s="30">
        <f>29771-C49-C51</f>
        <v>1908</v>
      </c>
      <c r="D47" s="30">
        <f>1165949-D49-D51</f>
        <v>532083</v>
      </c>
      <c r="E47" s="30">
        <f>1132621-E49-E51</f>
        <v>529312</v>
      </c>
      <c r="F47" s="350">
        <f t="shared" si="10"/>
        <v>99.479216588389406</v>
      </c>
      <c r="G47" s="258"/>
      <c r="H47" s="258"/>
      <c r="I47" s="258"/>
      <c r="J47" s="193"/>
      <c r="K47" s="55"/>
      <c r="L47" s="77"/>
      <c r="M47" s="53"/>
      <c r="N47" s="54"/>
      <c r="O47" s="53"/>
    </row>
    <row r="48" spans="1:15" s="32" customFormat="1" x14ac:dyDescent="0.2">
      <c r="A48" s="28" t="s">
        <v>109</v>
      </c>
      <c r="B48" s="313"/>
      <c r="C48" s="30">
        <v>0</v>
      </c>
      <c r="D48" s="30">
        <v>0</v>
      </c>
      <c r="E48" s="30">
        <v>0</v>
      </c>
      <c r="F48" s="350">
        <v>0</v>
      </c>
      <c r="G48" s="258"/>
      <c r="H48" s="258"/>
      <c r="I48" s="258"/>
      <c r="J48" s="193"/>
      <c r="K48" s="55"/>
      <c r="L48" s="53"/>
      <c r="M48" s="53"/>
      <c r="N48" s="54"/>
      <c r="O48" s="53"/>
    </row>
    <row r="49" spans="1:15" s="32" customFormat="1" x14ac:dyDescent="0.2">
      <c r="A49" s="314" t="s">
        <v>112</v>
      </c>
      <c r="B49" s="313"/>
      <c r="C49" s="30">
        <v>27863</v>
      </c>
      <c r="D49" s="30">
        <v>39682</v>
      </c>
      <c r="E49" s="30">
        <v>9135</v>
      </c>
      <c r="F49" s="350">
        <f t="shared" si="10"/>
        <v>23.020513078977874</v>
      </c>
      <c r="G49" s="258"/>
      <c r="H49" s="258"/>
      <c r="I49" s="258"/>
      <c r="J49" s="193"/>
      <c r="K49" s="55"/>
      <c r="L49" s="53"/>
      <c r="M49" s="53"/>
      <c r="N49" s="54"/>
      <c r="O49" s="53"/>
    </row>
    <row r="50" spans="1:15" ht="17.45" customHeight="1" x14ac:dyDescent="0.2">
      <c r="A50" s="51" t="s">
        <v>23</v>
      </c>
      <c r="B50" s="311"/>
      <c r="C50" s="357">
        <f>C51+C52</f>
        <v>0</v>
      </c>
      <c r="D50" s="357">
        <f t="shared" ref="D50:E50" si="13">D51+D52</f>
        <v>594184</v>
      </c>
      <c r="E50" s="357">
        <f t="shared" si="13"/>
        <v>594174</v>
      </c>
      <c r="F50" s="350">
        <f t="shared" ref="F50:F51" si="14">(E50/D50)*100</f>
        <v>99.99831701964375</v>
      </c>
      <c r="G50" s="258"/>
      <c r="H50" s="258"/>
      <c r="I50" s="258"/>
      <c r="J50" s="193"/>
      <c r="K50" s="255"/>
      <c r="L50" s="78"/>
      <c r="M50" s="78"/>
      <c r="N50" s="79"/>
      <c r="O50" s="78"/>
    </row>
    <row r="51" spans="1:15" ht="15" customHeight="1" x14ac:dyDescent="0.2">
      <c r="A51" s="28" t="s">
        <v>111</v>
      </c>
      <c r="B51" s="311"/>
      <c r="C51" s="30">
        <v>0</v>
      </c>
      <c r="D51" s="30">
        <v>594184</v>
      </c>
      <c r="E51" s="30">
        <v>594174</v>
      </c>
      <c r="F51" s="350">
        <f t="shared" si="14"/>
        <v>99.99831701964375</v>
      </c>
      <c r="G51" s="31"/>
      <c r="H51" s="31"/>
      <c r="I51" s="31"/>
      <c r="J51" s="193"/>
      <c r="K51" s="55"/>
      <c r="L51" s="78"/>
      <c r="M51" s="78"/>
      <c r="N51" s="79"/>
      <c r="O51" s="78"/>
    </row>
    <row r="52" spans="1:15" ht="15" customHeight="1" x14ac:dyDescent="0.2">
      <c r="A52" s="28" t="s">
        <v>109</v>
      </c>
      <c r="B52" s="311"/>
      <c r="C52" s="30">
        <v>0</v>
      </c>
      <c r="D52" s="30">
        <v>0</v>
      </c>
      <c r="E52" s="30">
        <v>0</v>
      </c>
      <c r="F52" s="309">
        <v>0</v>
      </c>
      <c r="G52" s="31"/>
      <c r="H52" s="31"/>
      <c r="I52" s="31"/>
      <c r="J52" s="193"/>
      <c r="K52" s="55"/>
      <c r="L52" s="78"/>
      <c r="M52" s="78"/>
      <c r="N52" s="79"/>
      <c r="O52" s="78"/>
    </row>
    <row r="53" spans="1:15" ht="15" customHeight="1" x14ac:dyDescent="0.25">
      <c r="A53" s="336" t="s">
        <v>25</v>
      </c>
      <c r="B53" s="327">
        <v>12</v>
      </c>
      <c r="C53" s="352">
        <f>C54+C58</f>
        <v>220875</v>
      </c>
      <c r="D53" s="352">
        <f>D54+D58</f>
        <v>609579</v>
      </c>
      <c r="E53" s="352">
        <f>E54+E58</f>
        <v>386577</v>
      </c>
      <c r="F53" s="349">
        <f t="shared" si="10"/>
        <v>63.417046847086269</v>
      </c>
      <c r="G53" s="27"/>
      <c r="H53" s="67"/>
      <c r="I53" s="67"/>
      <c r="J53" s="193"/>
      <c r="K53" s="67"/>
      <c r="L53" s="78"/>
      <c r="M53" s="78"/>
      <c r="N53" s="79"/>
      <c r="O53" s="78"/>
    </row>
    <row r="54" spans="1:15" ht="15" customHeight="1" x14ac:dyDescent="0.2">
      <c r="A54" s="312" t="s">
        <v>22</v>
      </c>
      <c r="B54" s="311"/>
      <c r="C54" s="357">
        <f>C55+C56+C57</f>
        <v>19450</v>
      </c>
      <c r="D54" s="357">
        <f>D55+D56+D57</f>
        <v>26744</v>
      </c>
      <c r="E54" s="357">
        <f t="shared" ref="E54" si="15">E55+E56+E57</f>
        <v>20759</v>
      </c>
      <c r="F54" s="350">
        <f t="shared" si="10"/>
        <v>77.6211486688603</v>
      </c>
      <c r="G54" s="258"/>
      <c r="H54" s="258"/>
      <c r="I54" s="258"/>
      <c r="J54" s="193"/>
      <c r="K54" s="255"/>
      <c r="L54" s="78"/>
      <c r="M54" s="78"/>
      <c r="N54" s="79"/>
      <c r="O54" s="78"/>
    </row>
    <row r="55" spans="1:15" ht="15" customHeight="1" x14ac:dyDescent="0.2">
      <c r="A55" s="28" t="s">
        <v>111</v>
      </c>
      <c r="B55" s="311"/>
      <c r="C55" s="30">
        <v>700</v>
      </c>
      <c r="D55" s="30">
        <v>700</v>
      </c>
      <c r="E55" s="30">
        <v>130</v>
      </c>
      <c r="F55" s="350">
        <f t="shared" si="10"/>
        <v>18.571428571428573</v>
      </c>
      <c r="G55" s="31"/>
      <c r="H55" s="31"/>
      <c r="I55" s="31"/>
      <c r="J55" s="193"/>
      <c r="K55" s="55"/>
      <c r="L55" s="77"/>
      <c r="M55" s="78"/>
      <c r="N55" s="79"/>
      <c r="O55" s="78"/>
    </row>
    <row r="56" spans="1:15" ht="15" customHeight="1" x14ac:dyDescent="0.2">
      <c r="A56" s="28" t="s">
        <v>109</v>
      </c>
      <c r="B56" s="311"/>
      <c r="C56" s="30">
        <v>0</v>
      </c>
      <c r="D56" s="30">
        <v>0</v>
      </c>
      <c r="E56" s="30">
        <v>0</v>
      </c>
      <c r="F56" s="350">
        <v>0</v>
      </c>
      <c r="G56" s="31"/>
      <c r="H56" s="31"/>
      <c r="I56" s="31"/>
      <c r="J56" s="193"/>
      <c r="K56" s="55"/>
      <c r="L56" s="78"/>
      <c r="M56" s="78"/>
      <c r="N56" s="79"/>
      <c r="O56" s="78"/>
    </row>
    <row r="57" spans="1:15" ht="15" customHeight="1" x14ac:dyDescent="0.2">
      <c r="A57" s="314" t="s">
        <v>112</v>
      </c>
      <c r="B57" s="311"/>
      <c r="C57" s="30">
        <v>18750</v>
      </c>
      <c r="D57" s="30">
        <v>26044</v>
      </c>
      <c r="E57" s="30">
        <v>20629</v>
      </c>
      <c r="F57" s="350">
        <f t="shared" si="10"/>
        <v>79.208262939640605</v>
      </c>
      <c r="G57" s="31"/>
      <c r="H57" s="31"/>
      <c r="I57" s="31"/>
      <c r="J57" s="193"/>
      <c r="K57" s="55"/>
      <c r="L57" s="78"/>
      <c r="M57" s="78"/>
      <c r="N57" s="79"/>
      <c r="O57" s="78"/>
    </row>
    <row r="58" spans="1:15" ht="17.45" customHeight="1" x14ac:dyDescent="0.2">
      <c r="A58" s="51" t="s">
        <v>23</v>
      </c>
      <c r="B58" s="311"/>
      <c r="C58" s="357">
        <f>C59+C60</f>
        <v>201425</v>
      </c>
      <c r="D58" s="357">
        <f t="shared" ref="D58:E58" si="16">D59+D60</f>
        <v>582835</v>
      </c>
      <c r="E58" s="357">
        <f t="shared" si="16"/>
        <v>365818</v>
      </c>
      <c r="F58" s="350">
        <f t="shared" si="10"/>
        <v>62.76527662202853</v>
      </c>
      <c r="G58" s="258"/>
      <c r="H58" s="31"/>
      <c r="I58" s="31"/>
      <c r="J58" s="31"/>
      <c r="K58" s="55"/>
      <c r="L58" s="78"/>
      <c r="M58" s="78"/>
      <c r="N58" s="79"/>
      <c r="O58" s="78"/>
    </row>
    <row r="59" spans="1:15" ht="15" customHeight="1" x14ac:dyDescent="0.2">
      <c r="A59" s="28" t="s">
        <v>111</v>
      </c>
      <c r="B59" s="311"/>
      <c r="C59" s="30">
        <v>0</v>
      </c>
      <c r="D59" s="30">
        <v>228637</v>
      </c>
      <c r="E59" s="30">
        <v>133213</v>
      </c>
      <c r="F59" s="350">
        <f t="shared" si="10"/>
        <v>58.263973022739101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5" customHeight="1" thickBot="1" x14ac:dyDescent="0.25">
      <c r="A60" s="339" t="s">
        <v>109</v>
      </c>
      <c r="B60" s="340"/>
      <c r="C60" s="360">
        <v>201425</v>
      </c>
      <c r="D60" s="360">
        <f>272619+81579</f>
        <v>354198</v>
      </c>
      <c r="E60" s="360">
        <f>151026+81579</f>
        <v>232605</v>
      </c>
      <c r="F60" s="361">
        <f t="shared" si="10"/>
        <v>65.67089593955923</v>
      </c>
      <c r="G60" s="31"/>
      <c r="H60" s="31"/>
      <c r="I60" s="31"/>
      <c r="J60" s="193"/>
      <c r="K60" s="55"/>
      <c r="L60" s="78"/>
      <c r="M60" s="78"/>
      <c r="N60" s="79"/>
      <c r="O60" s="78"/>
    </row>
    <row r="61" spans="1:15" ht="15" customHeight="1" thickTop="1" x14ac:dyDescent="0.2">
      <c r="A61" s="53"/>
      <c r="B61" s="337"/>
      <c r="C61" s="88"/>
      <c r="D61" s="88"/>
      <c r="E61" s="88"/>
      <c r="F61" s="338"/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Bot="1" x14ac:dyDescent="0.25">
      <c r="A62" s="300"/>
      <c r="B62" s="243"/>
      <c r="C62" s="301"/>
      <c r="D62" s="301"/>
      <c r="E62" s="301"/>
      <c r="F62" s="298" t="s">
        <v>0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thickBot="1" x14ac:dyDescent="0.25">
      <c r="A63" s="269" t="s">
        <v>10</v>
      </c>
      <c r="B63" s="270" t="s">
        <v>11</v>
      </c>
      <c r="C63" s="271" t="s">
        <v>12</v>
      </c>
      <c r="D63" s="271" t="s">
        <v>13</v>
      </c>
      <c r="E63" s="271" t="s">
        <v>4</v>
      </c>
      <c r="F63" s="272" t="s">
        <v>5</v>
      </c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Top="1" thickBot="1" x14ac:dyDescent="0.25">
      <c r="A64" s="267">
        <v>1</v>
      </c>
      <c r="B64" s="265">
        <v>2</v>
      </c>
      <c r="C64" s="265">
        <v>3</v>
      </c>
      <c r="D64" s="265">
        <v>4</v>
      </c>
      <c r="E64" s="265">
        <v>5</v>
      </c>
      <c r="F64" s="273" t="s">
        <v>99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thickTop="1" x14ac:dyDescent="0.25">
      <c r="A65" s="336" t="s">
        <v>113</v>
      </c>
      <c r="B65" s="327">
        <v>13</v>
      </c>
      <c r="C65" s="352">
        <f>SUM(C66:C68)</f>
        <v>213811</v>
      </c>
      <c r="D65" s="352">
        <f t="shared" ref="D65:E65" si="17">SUM(D66:D68)</f>
        <v>338182</v>
      </c>
      <c r="E65" s="352">
        <f t="shared" si="17"/>
        <v>185503</v>
      </c>
      <c r="F65" s="349">
        <f t="shared" ref="F65:F68" si="18">(E65/D65)*100</f>
        <v>54.853008143544017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x14ac:dyDescent="0.2">
      <c r="A66" s="28" t="s">
        <v>111</v>
      </c>
      <c r="B66" s="311"/>
      <c r="C66" s="30">
        <f>213811-C68-C67</f>
        <v>12926</v>
      </c>
      <c r="D66" s="30">
        <f>338182-D68-D67</f>
        <v>37211</v>
      </c>
      <c r="E66" s="30">
        <f>185503-E68-E67</f>
        <v>27460</v>
      </c>
      <c r="F66" s="350">
        <f t="shared" si="18"/>
        <v>73.795383085646719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x14ac:dyDescent="0.2">
      <c r="A67" s="28" t="s">
        <v>109</v>
      </c>
      <c r="B67" s="311"/>
      <c r="C67" s="30">
        <v>0</v>
      </c>
      <c r="D67" s="30">
        <v>76</v>
      </c>
      <c r="E67" s="30">
        <v>0</v>
      </c>
      <c r="F67" s="350">
        <v>0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ht="15" customHeight="1" x14ac:dyDescent="0.2">
      <c r="A68" s="322" t="s">
        <v>112</v>
      </c>
      <c r="B68" s="325"/>
      <c r="C68" s="351">
        <v>200885</v>
      </c>
      <c r="D68" s="351">
        <v>300895</v>
      </c>
      <c r="E68" s="351">
        <v>158043</v>
      </c>
      <c r="F68" s="309">
        <f t="shared" si="18"/>
        <v>52.52430249754898</v>
      </c>
      <c r="G68" s="31"/>
      <c r="H68" s="31"/>
      <c r="I68" s="31"/>
      <c r="J68" s="193"/>
      <c r="K68" s="55"/>
      <c r="L68" s="78"/>
      <c r="M68" s="78"/>
      <c r="N68" s="79"/>
      <c r="O68" s="78"/>
    </row>
    <row r="69" spans="1:15" s="35" customFormat="1" ht="15" x14ac:dyDescent="0.25">
      <c r="A69" s="310" t="s">
        <v>26</v>
      </c>
      <c r="B69" s="311">
        <v>14</v>
      </c>
      <c r="C69" s="353">
        <f>C70+C75</f>
        <v>48035</v>
      </c>
      <c r="D69" s="353">
        <f>D70+D75</f>
        <v>65118</v>
      </c>
      <c r="E69" s="353">
        <f>E70+E75</f>
        <v>21674</v>
      </c>
      <c r="F69" s="349">
        <f t="shared" ref="F69:F105" si="19">(E69/D69)*100</f>
        <v>33.284191774931664</v>
      </c>
      <c r="G69" s="252"/>
      <c r="H69" s="67"/>
      <c r="I69" s="67"/>
      <c r="J69" s="193"/>
      <c r="K69" s="67"/>
      <c r="L69" s="53"/>
      <c r="M69" s="77"/>
      <c r="N69" s="44"/>
      <c r="O69" s="77"/>
    </row>
    <row r="70" spans="1:15" s="32" customFormat="1" x14ac:dyDescent="0.2">
      <c r="A70" s="312" t="s">
        <v>22</v>
      </c>
      <c r="B70" s="313"/>
      <c r="C70" s="357">
        <f>C71+C72+C73+C74</f>
        <v>48035</v>
      </c>
      <c r="D70" s="357">
        <f t="shared" ref="D70:E70" si="20">D71+D72+D73+D74</f>
        <v>60609</v>
      </c>
      <c r="E70" s="357">
        <f t="shared" si="20"/>
        <v>20123</v>
      </c>
      <c r="F70" s="350">
        <f t="shared" si="19"/>
        <v>33.201339735022849</v>
      </c>
      <c r="G70" s="258"/>
      <c r="H70" s="258"/>
      <c r="I70" s="258"/>
      <c r="J70" s="193"/>
      <c r="K70" s="255"/>
      <c r="L70" s="53"/>
      <c r="M70" s="53"/>
      <c r="N70" s="54"/>
      <c r="O70" s="53"/>
    </row>
    <row r="71" spans="1:15" s="32" customFormat="1" x14ac:dyDescent="0.2">
      <c r="A71" s="28" t="s">
        <v>111</v>
      </c>
      <c r="B71" s="313"/>
      <c r="C71" s="30">
        <f>48035-C74-C76</f>
        <v>41660</v>
      </c>
      <c r="D71" s="30">
        <v>43084</v>
      </c>
      <c r="E71" s="30">
        <v>16421</v>
      </c>
      <c r="F71" s="350">
        <f>(E71/D71)*100</f>
        <v>38.113916999350103</v>
      </c>
      <c r="G71" s="31"/>
      <c r="H71" s="31"/>
      <c r="I71" s="31"/>
      <c r="J71" s="193"/>
      <c r="K71" s="55"/>
      <c r="L71" s="77"/>
      <c r="M71" s="53"/>
      <c r="N71" s="54"/>
      <c r="O71" s="53"/>
    </row>
    <row r="72" spans="1:15" s="32" customFormat="1" x14ac:dyDescent="0.2">
      <c r="A72" s="28" t="s">
        <v>109</v>
      </c>
      <c r="B72" s="313"/>
      <c r="C72" s="30">
        <v>0</v>
      </c>
      <c r="D72" s="30"/>
      <c r="E72" s="30"/>
      <c r="F72" s="350">
        <v>0</v>
      </c>
      <c r="G72" s="31"/>
      <c r="H72" s="31"/>
      <c r="I72" s="31"/>
      <c r="J72" s="193"/>
      <c r="K72" s="55"/>
      <c r="L72" s="53"/>
      <c r="M72" s="53"/>
      <c r="N72" s="54"/>
      <c r="O72" s="53"/>
    </row>
    <row r="73" spans="1:15" s="32" customFormat="1" hidden="1" x14ac:dyDescent="0.2">
      <c r="A73" s="314" t="s">
        <v>110</v>
      </c>
      <c r="B73" s="313"/>
      <c r="C73" s="30"/>
      <c r="D73" s="30"/>
      <c r="E73" s="30"/>
      <c r="F73" s="350" t="e">
        <f t="shared" ref="F73" si="21">(E73/D73)*100</f>
        <v>#DIV/0!</v>
      </c>
      <c r="G73" s="31"/>
      <c r="H73" s="31"/>
      <c r="I73" s="31"/>
      <c r="J73" s="193"/>
      <c r="K73" s="55"/>
      <c r="L73" s="53"/>
      <c r="M73" s="53"/>
      <c r="N73" s="54"/>
      <c r="O73" s="53"/>
    </row>
    <row r="74" spans="1:15" s="32" customFormat="1" x14ac:dyDescent="0.2">
      <c r="A74" s="314" t="s">
        <v>112</v>
      </c>
      <c r="B74" s="313"/>
      <c r="C74" s="30">
        <v>6375</v>
      </c>
      <c r="D74" s="30">
        <v>17525</v>
      </c>
      <c r="E74" s="30">
        <v>3702</v>
      </c>
      <c r="F74" s="350">
        <f t="shared" si="19"/>
        <v>21.124108416547788</v>
      </c>
      <c r="G74" s="31"/>
      <c r="H74" s="31"/>
      <c r="I74" s="31"/>
      <c r="J74" s="193"/>
      <c r="K74" s="55"/>
      <c r="L74" s="53"/>
      <c r="M74" s="53"/>
      <c r="N74" s="54"/>
      <c r="O74" s="53"/>
    </row>
    <row r="75" spans="1:15" s="32" customFormat="1" x14ac:dyDescent="0.2">
      <c r="A75" s="51" t="s">
        <v>23</v>
      </c>
      <c r="B75" s="313"/>
      <c r="C75" s="357">
        <f>C76+C77</f>
        <v>0</v>
      </c>
      <c r="D75" s="357">
        <f t="shared" ref="D75:E75" si="22">D76+D77</f>
        <v>4509</v>
      </c>
      <c r="E75" s="357">
        <f t="shared" si="22"/>
        <v>1551</v>
      </c>
      <c r="F75" s="362">
        <f>(E75/D75)*100</f>
        <v>34.397870924817028</v>
      </c>
      <c r="G75" s="258"/>
      <c r="H75" s="258"/>
      <c r="I75" s="258"/>
      <c r="J75" s="193"/>
      <c r="K75" s="255"/>
      <c r="L75" s="53"/>
      <c r="M75" s="53"/>
      <c r="N75" s="54"/>
      <c r="O75" s="53"/>
    </row>
    <row r="76" spans="1:15" s="32" customFormat="1" x14ac:dyDescent="0.2">
      <c r="A76" s="28" t="s">
        <v>111</v>
      </c>
      <c r="B76" s="313"/>
      <c r="C76" s="30">
        <v>0</v>
      </c>
      <c r="D76" s="30">
        <v>4509</v>
      </c>
      <c r="E76" s="30">
        <v>1551</v>
      </c>
      <c r="F76" s="362">
        <f t="shared" ref="F76" si="23">(E76/D76)*100</f>
        <v>34.397870924817028</v>
      </c>
      <c r="G76" s="31"/>
      <c r="H76" s="31"/>
      <c r="I76" s="31"/>
      <c r="J76" s="193"/>
      <c r="K76" s="55"/>
      <c r="L76" s="53"/>
      <c r="M76" s="53"/>
      <c r="N76" s="54"/>
      <c r="O76" s="53"/>
    </row>
    <row r="77" spans="1:15" s="32" customFormat="1" x14ac:dyDescent="0.2">
      <c r="A77" s="315" t="s">
        <v>109</v>
      </c>
      <c r="B77" s="316"/>
      <c r="C77" s="351">
        <v>0</v>
      </c>
      <c r="D77" s="351">
        <v>0</v>
      </c>
      <c r="E77" s="351">
        <v>0</v>
      </c>
      <c r="F77" s="363">
        <v>0</v>
      </c>
      <c r="G77" s="31"/>
      <c r="H77" s="31"/>
      <c r="I77" s="31"/>
      <c r="J77" s="31"/>
      <c r="K77" s="55"/>
      <c r="L77" s="53"/>
      <c r="M77" s="53"/>
      <c r="N77" s="54"/>
      <c r="O77" s="53"/>
    </row>
    <row r="78" spans="1:15" s="35" customFormat="1" ht="15" x14ac:dyDescent="0.25">
      <c r="A78" s="310" t="s">
        <v>27</v>
      </c>
      <c r="B78" s="311">
        <v>16</v>
      </c>
      <c r="C78" s="353">
        <v>10</v>
      </c>
      <c r="D78" s="353">
        <v>0</v>
      </c>
      <c r="E78" s="353">
        <v>0</v>
      </c>
      <c r="F78" s="349">
        <v>0</v>
      </c>
      <c r="G78" s="27"/>
      <c r="H78" s="31"/>
      <c r="I78" s="31"/>
      <c r="J78" s="31"/>
      <c r="K78" s="67"/>
      <c r="L78" s="77"/>
      <c r="M78" s="77"/>
      <c r="N78" s="44"/>
      <c r="O78" s="77"/>
    </row>
    <row r="79" spans="1:15" s="35" customFormat="1" ht="15" x14ac:dyDescent="0.25">
      <c r="A79" s="317" t="s">
        <v>102</v>
      </c>
      <c r="B79" s="318">
        <v>17</v>
      </c>
      <c r="C79" s="352">
        <f>C80+C81</f>
        <v>609526</v>
      </c>
      <c r="D79" s="352">
        <f t="shared" ref="D79:E79" si="24">D80+D81</f>
        <v>685189</v>
      </c>
      <c r="E79" s="352">
        <f t="shared" si="24"/>
        <v>169393</v>
      </c>
      <c r="F79" s="356">
        <f t="shared" si="19"/>
        <v>24.722083979748653</v>
      </c>
      <c r="G79" s="252"/>
      <c r="H79" s="27"/>
      <c r="I79" s="27"/>
      <c r="J79" s="193"/>
      <c r="K79" s="67"/>
      <c r="L79" s="77"/>
      <c r="M79" s="77"/>
      <c r="N79" s="44"/>
      <c r="O79" s="77"/>
    </row>
    <row r="80" spans="1:15" s="35" customFormat="1" x14ac:dyDescent="0.2">
      <c r="A80" s="28" t="s">
        <v>111</v>
      </c>
      <c r="B80" s="37"/>
      <c r="C80" s="30">
        <v>77572</v>
      </c>
      <c r="D80" s="30">
        <v>94837</v>
      </c>
      <c r="E80" s="30">
        <v>20801</v>
      </c>
      <c r="F80" s="350">
        <f t="shared" si="19"/>
        <v>21.933422609319148</v>
      </c>
      <c r="G80" s="31"/>
      <c r="H80" s="31"/>
      <c r="I80" s="31"/>
      <c r="J80" s="193"/>
      <c r="K80" s="55"/>
      <c r="L80" s="77"/>
      <c r="M80" s="259"/>
      <c r="N80" s="44"/>
      <c r="O80" s="77"/>
    </row>
    <row r="81" spans="1:15" s="35" customFormat="1" x14ac:dyDescent="0.2">
      <c r="A81" s="315" t="s">
        <v>109</v>
      </c>
      <c r="B81" s="319"/>
      <c r="C81" s="351">
        <v>531954</v>
      </c>
      <c r="D81" s="351">
        <v>590352</v>
      </c>
      <c r="E81" s="351">
        <v>148592</v>
      </c>
      <c r="F81" s="309">
        <f t="shared" si="19"/>
        <v>25.170068027210885</v>
      </c>
      <c r="G81" s="31"/>
      <c r="H81" s="31"/>
      <c r="I81" s="31"/>
      <c r="J81" s="193"/>
      <c r="K81" s="55"/>
      <c r="L81" s="77"/>
      <c r="M81" s="260"/>
      <c r="N81" s="44"/>
      <c r="O81" s="77"/>
    </row>
    <row r="82" spans="1:15" s="35" customFormat="1" ht="15" x14ac:dyDescent="0.25">
      <c r="A82" s="320" t="s">
        <v>103</v>
      </c>
      <c r="B82" s="321">
        <v>18</v>
      </c>
      <c r="C82" s="353">
        <f>C83+C84+C85</f>
        <v>76137</v>
      </c>
      <c r="D82" s="353">
        <f t="shared" ref="D82:E82" si="25">D83+D84+D85</f>
        <v>106430</v>
      </c>
      <c r="E82" s="353">
        <f t="shared" si="25"/>
        <v>56495</v>
      </c>
      <c r="F82" s="349">
        <f t="shared" si="19"/>
        <v>53.081837827680168</v>
      </c>
      <c r="G82" s="31"/>
      <c r="H82" s="31"/>
      <c r="I82" s="31"/>
      <c r="J82" s="44"/>
      <c r="K82" s="55"/>
      <c r="L82" s="77"/>
      <c r="M82" s="46"/>
      <c r="N82" s="44"/>
      <c r="O82" s="77"/>
    </row>
    <row r="83" spans="1:15" s="35" customFormat="1" x14ac:dyDescent="0.2">
      <c r="A83" s="28" t="s">
        <v>111</v>
      </c>
      <c r="B83" s="37"/>
      <c r="C83" s="30">
        <v>37237</v>
      </c>
      <c r="D83" s="30">
        <v>42990</v>
      </c>
      <c r="E83" s="30">
        <v>23588</v>
      </c>
      <c r="F83" s="350">
        <f>(E83/D83)*100</f>
        <v>54.868574086996979</v>
      </c>
      <c r="G83" s="31"/>
      <c r="H83" s="31"/>
      <c r="I83" s="31"/>
      <c r="J83" s="193"/>
      <c r="K83" s="55"/>
      <c r="L83" s="77"/>
      <c r="M83" s="259"/>
      <c r="N83" s="44"/>
      <c r="O83" s="77"/>
    </row>
    <row r="84" spans="1:15" s="35" customFormat="1" x14ac:dyDescent="0.2">
      <c r="A84" s="28" t="s">
        <v>109</v>
      </c>
      <c r="B84" s="37"/>
      <c r="C84" s="30">
        <v>14800</v>
      </c>
      <c r="D84" s="30">
        <v>20318</v>
      </c>
      <c r="E84" s="30">
        <v>2000</v>
      </c>
      <c r="F84" s="350">
        <f>(E84/D84)*100</f>
        <v>9.8434885323358596</v>
      </c>
      <c r="G84" s="31"/>
      <c r="H84" s="31"/>
      <c r="I84" s="31"/>
      <c r="J84" s="54"/>
      <c r="K84" s="55"/>
      <c r="L84" s="77"/>
      <c r="M84" s="260"/>
      <c r="N84" s="44"/>
      <c r="O84" s="77"/>
    </row>
    <row r="85" spans="1:15" s="35" customFormat="1" x14ac:dyDescent="0.2">
      <c r="A85" s="322" t="s">
        <v>112</v>
      </c>
      <c r="B85" s="316"/>
      <c r="C85" s="351">
        <v>24100</v>
      </c>
      <c r="D85" s="351">
        <v>43122</v>
      </c>
      <c r="E85" s="351">
        <v>30907</v>
      </c>
      <c r="F85" s="309">
        <f>(E85/D85)*100</f>
        <v>71.673391772181247</v>
      </c>
      <c r="G85" s="31"/>
      <c r="H85" s="31"/>
      <c r="I85" s="31"/>
      <c r="J85" s="31"/>
      <c r="K85" s="55"/>
      <c r="L85" s="77"/>
      <c r="M85" s="46"/>
      <c r="N85" s="44"/>
      <c r="O85" s="77"/>
    </row>
    <row r="86" spans="1:15" s="35" customFormat="1" ht="15" x14ac:dyDescent="0.25">
      <c r="A86" s="323" t="s">
        <v>86</v>
      </c>
      <c r="B86" s="321">
        <v>19</v>
      </c>
      <c r="C86" s="353">
        <f>C87+C90</f>
        <v>3095487</v>
      </c>
      <c r="D86" s="353">
        <f>D87+D90</f>
        <v>3185939</v>
      </c>
      <c r="E86" s="353">
        <f>E87+E90</f>
        <v>1762070</v>
      </c>
      <c r="F86" s="349">
        <f t="shared" si="19"/>
        <v>55.307713047864382</v>
      </c>
      <c r="G86" s="31"/>
      <c r="H86" s="31"/>
      <c r="I86" s="31"/>
      <c r="J86" s="44"/>
      <c r="K86" s="55"/>
      <c r="L86" s="77"/>
      <c r="M86" s="46"/>
      <c r="N86" s="44"/>
      <c r="O86" s="77"/>
    </row>
    <row r="87" spans="1:15" s="35" customFormat="1" x14ac:dyDescent="0.2">
      <c r="A87" s="312" t="s">
        <v>22</v>
      </c>
      <c r="B87" s="313"/>
      <c r="C87" s="357">
        <f>C88+C89</f>
        <v>56413</v>
      </c>
      <c r="D87" s="357">
        <f>D88+D89</f>
        <v>56652</v>
      </c>
      <c r="E87" s="357">
        <f>E88+E89</f>
        <v>27047</v>
      </c>
      <c r="F87" s="362">
        <f>(E87/D87)*100</f>
        <v>47.742356845301138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111</v>
      </c>
      <c r="B88" s="313"/>
      <c r="C88" s="30">
        <v>56413</v>
      </c>
      <c r="D88" s="30">
        <v>56652</v>
      </c>
      <c r="E88" s="30">
        <v>27047</v>
      </c>
      <c r="F88" s="350">
        <f>(E88/D88)*100</f>
        <v>47.742356845301138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109</v>
      </c>
      <c r="B89" s="313"/>
      <c r="C89" s="30">
        <v>0</v>
      </c>
      <c r="D89" s="30">
        <v>0</v>
      </c>
      <c r="E89" s="30">
        <v>0</v>
      </c>
      <c r="F89" s="350">
        <v>0</v>
      </c>
      <c r="G89" s="31"/>
      <c r="H89" s="31"/>
      <c r="I89" s="31"/>
      <c r="J89" s="44"/>
      <c r="K89" s="55"/>
      <c r="L89" s="77"/>
      <c r="M89" s="46"/>
      <c r="N89" s="44"/>
      <c r="O89" s="77"/>
    </row>
    <row r="90" spans="1:15" s="35" customFormat="1" x14ac:dyDescent="0.2">
      <c r="A90" s="51" t="s">
        <v>23</v>
      </c>
      <c r="B90" s="313"/>
      <c r="C90" s="357">
        <f>C91+C92</f>
        <v>3039074</v>
      </c>
      <c r="D90" s="357">
        <f>D91+D92</f>
        <v>3129287</v>
      </c>
      <c r="E90" s="357">
        <f>E91+E92</f>
        <v>1735023</v>
      </c>
      <c r="F90" s="362">
        <f t="shared" si="19"/>
        <v>55.444674777353434</v>
      </c>
      <c r="G90" s="31"/>
      <c r="H90" s="31"/>
      <c r="I90" s="31"/>
      <c r="J90" s="44"/>
      <c r="K90" s="55"/>
      <c r="L90" s="77"/>
      <c r="M90" s="46"/>
      <c r="N90" s="44"/>
      <c r="O90" s="77"/>
    </row>
    <row r="91" spans="1:15" s="35" customFormat="1" x14ac:dyDescent="0.2">
      <c r="A91" s="28" t="s">
        <v>111</v>
      </c>
      <c r="B91" s="313"/>
      <c r="C91" s="30">
        <v>2954304</v>
      </c>
      <c r="D91" s="30">
        <v>3011375</v>
      </c>
      <c r="E91" s="30">
        <v>1712757</v>
      </c>
      <c r="F91" s="350">
        <f t="shared" si="19"/>
        <v>56.876244240587766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x14ac:dyDescent="0.2">
      <c r="A92" s="28" t="s">
        <v>109</v>
      </c>
      <c r="B92" s="316"/>
      <c r="C92" s="351">
        <v>84770</v>
      </c>
      <c r="D92" s="351">
        <v>117912</v>
      </c>
      <c r="E92" s="351">
        <v>22266</v>
      </c>
      <c r="F92" s="309">
        <f t="shared" si="19"/>
        <v>18.883574190922044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324" t="s">
        <v>92</v>
      </c>
      <c r="B93" s="325">
        <v>20</v>
      </c>
      <c r="C93" s="364">
        <v>465</v>
      </c>
      <c r="D93" s="364">
        <v>890</v>
      </c>
      <c r="E93" s="364">
        <v>532</v>
      </c>
      <c r="F93" s="365">
        <f t="shared" si="19"/>
        <v>59.775280898876403</v>
      </c>
      <c r="G93" s="31"/>
      <c r="H93" s="31"/>
      <c r="I93" s="31"/>
      <c r="J93" s="44"/>
      <c r="K93" s="55"/>
      <c r="L93" s="77"/>
      <c r="M93" s="46"/>
      <c r="N93" s="44"/>
      <c r="O93" s="77"/>
    </row>
    <row r="94" spans="1:15" s="35" customFormat="1" ht="15" x14ac:dyDescent="0.25">
      <c r="A94" s="310" t="s">
        <v>28</v>
      </c>
      <c r="B94" s="311" t="s">
        <v>97</v>
      </c>
      <c r="C94" s="353">
        <f>SUM(C95:C97)</f>
        <v>405802</v>
      </c>
      <c r="D94" s="353">
        <f t="shared" ref="D94:E94" si="26">SUM(D95:D97)</f>
        <v>1065803</v>
      </c>
      <c r="E94" s="353">
        <f t="shared" si="26"/>
        <v>1027225</v>
      </c>
      <c r="F94" s="349">
        <f t="shared" si="19"/>
        <v>96.380381740340383</v>
      </c>
      <c r="G94" s="27"/>
      <c r="H94" s="27"/>
      <c r="I94" s="27"/>
      <c r="J94" s="193"/>
      <c r="K94" s="67"/>
      <c r="L94" s="77"/>
      <c r="M94" s="77"/>
      <c r="N94" s="44"/>
      <c r="O94" s="77"/>
    </row>
    <row r="95" spans="1:15" s="35" customFormat="1" x14ac:dyDescent="0.2">
      <c r="A95" s="28" t="s">
        <v>111</v>
      </c>
      <c r="B95" s="311"/>
      <c r="C95" s="30">
        <v>35314</v>
      </c>
      <c r="D95" s="30">
        <f>206522-D97</f>
        <v>206522</v>
      </c>
      <c r="E95" s="30">
        <f>707861-E97</f>
        <v>105600</v>
      </c>
      <c r="F95" s="350">
        <f t="shared" si="19"/>
        <v>51.132566990441696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x14ac:dyDescent="0.2">
      <c r="A96" s="28" t="s">
        <v>109</v>
      </c>
      <c r="B96" s="311"/>
      <c r="C96" s="30">
        <v>370488</v>
      </c>
      <c r="D96" s="30">
        <v>859281</v>
      </c>
      <c r="E96" s="30">
        <v>319364</v>
      </c>
      <c r="F96" s="350">
        <f t="shared" si="19"/>
        <v>37.166421694416613</v>
      </c>
      <c r="G96" s="31"/>
      <c r="H96" s="31"/>
      <c r="I96" s="31"/>
      <c r="J96" s="193"/>
      <c r="K96" s="55"/>
      <c r="L96" s="77"/>
      <c r="M96" s="77"/>
      <c r="N96" s="44"/>
      <c r="O96" s="77"/>
    </row>
    <row r="97" spans="1:15" s="35" customFormat="1" x14ac:dyDescent="0.2">
      <c r="A97" s="314" t="s">
        <v>110</v>
      </c>
      <c r="B97" s="311"/>
      <c r="C97" s="30">
        <v>0</v>
      </c>
      <c r="D97" s="30">
        <v>0</v>
      </c>
      <c r="E97" s="30">
        <v>602261</v>
      </c>
      <c r="F97" s="309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ht="15" x14ac:dyDescent="0.25">
      <c r="A98" s="326" t="s">
        <v>45</v>
      </c>
      <c r="B98" s="327">
        <v>99</v>
      </c>
      <c r="C98" s="352">
        <f>+C101+C99+C100</f>
        <v>50000</v>
      </c>
      <c r="D98" s="352">
        <f t="shared" ref="D98:E98" si="27">+D101+D99+D100</f>
        <v>69416</v>
      </c>
      <c r="E98" s="352">
        <f t="shared" si="27"/>
        <v>23531</v>
      </c>
      <c r="F98" s="349">
        <f t="shared" si="19"/>
        <v>33.898524835772733</v>
      </c>
      <c r="G98" s="31"/>
      <c r="H98" s="31"/>
      <c r="I98" s="31"/>
      <c r="J98" s="193"/>
      <c r="K98" s="67"/>
      <c r="L98" s="77"/>
      <c r="M98" s="77"/>
      <c r="N98" s="44"/>
      <c r="O98" s="77"/>
    </row>
    <row r="99" spans="1:15" s="35" customFormat="1" x14ac:dyDescent="0.2">
      <c r="A99" s="28" t="s">
        <v>111</v>
      </c>
      <c r="B99" s="311"/>
      <c r="C99" s="30">
        <v>20000</v>
      </c>
      <c r="D99" s="30">
        <v>31000</v>
      </c>
      <c r="E99" s="30">
        <v>23531</v>
      </c>
      <c r="F99" s="350">
        <f t="shared" si="19"/>
        <v>75.906451612903226</v>
      </c>
      <c r="G99" s="31"/>
      <c r="H99" s="31"/>
      <c r="I99" s="31"/>
      <c r="J99" s="193"/>
      <c r="K99" s="55"/>
      <c r="L99" s="77"/>
      <c r="M99" s="77"/>
      <c r="N99" s="44"/>
      <c r="O99" s="77"/>
    </row>
    <row r="100" spans="1:15" s="35" customFormat="1" x14ac:dyDescent="0.2">
      <c r="A100" s="28" t="s">
        <v>109</v>
      </c>
      <c r="B100" s="311"/>
      <c r="C100" s="30">
        <v>0</v>
      </c>
      <c r="D100" s="30">
        <v>0</v>
      </c>
      <c r="E100" s="30">
        <v>0</v>
      </c>
      <c r="F100" s="350">
        <v>0</v>
      </c>
      <c r="G100" s="31"/>
      <c r="H100" s="31"/>
      <c r="I100" s="31"/>
      <c r="J100" s="193"/>
      <c r="K100" s="55"/>
      <c r="L100" s="77"/>
      <c r="M100" s="261"/>
      <c r="N100" s="44"/>
      <c r="O100" s="77"/>
    </row>
    <row r="101" spans="1:15" s="35" customFormat="1" x14ac:dyDescent="0.2">
      <c r="A101" s="322" t="s">
        <v>112</v>
      </c>
      <c r="B101" s="325"/>
      <c r="C101" s="351">
        <v>30000</v>
      </c>
      <c r="D101" s="351">
        <v>38416</v>
      </c>
      <c r="E101" s="351">
        <v>0</v>
      </c>
      <c r="F101" s="309">
        <f t="shared" si="19"/>
        <v>0</v>
      </c>
      <c r="G101" s="31"/>
      <c r="H101" s="31"/>
      <c r="I101" s="31"/>
      <c r="J101" s="193"/>
      <c r="K101" s="55"/>
      <c r="L101" s="77"/>
      <c r="M101" s="261"/>
      <c r="N101" s="44"/>
      <c r="O101" s="77"/>
    </row>
    <row r="102" spans="1:15" s="35" customFormat="1" ht="15" x14ac:dyDescent="0.25">
      <c r="A102" s="328" t="s">
        <v>29</v>
      </c>
      <c r="B102" s="311">
        <v>199</v>
      </c>
      <c r="C102" s="353">
        <f>C103</f>
        <v>9418</v>
      </c>
      <c r="D102" s="353">
        <f>D103</f>
        <v>11331</v>
      </c>
      <c r="E102" s="353">
        <f>E103</f>
        <v>5029</v>
      </c>
      <c r="F102" s="349">
        <f t="shared" si="19"/>
        <v>44.382667019680525</v>
      </c>
      <c r="G102" s="31"/>
      <c r="H102" s="31"/>
      <c r="I102" s="31"/>
      <c r="J102" s="193"/>
      <c r="K102" s="67"/>
      <c r="L102" s="43"/>
      <c r="M102" s="77"/>
      <c r="N102" s="44"/>
      <c r="O102" s="77"/>
    </row>
    <row r="103" spans="1:15" s="35" customFormat="1" x14ac:dyDescent="0.2">
      <c r="A103" s="28" t="s">
        <v>111</v>
      </c>
      <c r="B103" s="311"/>
      <c r="C103" s="30">
        <v>9418</v>
      </c>
      <c r="D103" s="30">
        <v>11331</v>
      </c>
      <c r="E103" s="30">
        <v>5029</v>
      </c>
      <c r="F103" s="350">
        <f t="shared" si="19"/>
        <v>44.382667019680525</v>
      </c>
      <c r="G103" s="31"/>
      <c r="H103" s="31"/>
      <c r="I103" s="31"/>
      <c r="J103" s="193"/>
      <c r="K103" s="55"/>
      <c r="L103" s="43"/>
      <c r="M103" s="44"/>
      <c r="N103" s="44"/>
      <c r="O103" s="77"/>
    </row>
    <row r="104" spans="1:15" s="35" customFormat="1" x14ac:dyDescent="0.2">
      <c r="A104" s="28" t="s">
        <v>109</v>
      </c>
      <c r="B104" s="325"/>
      <c r="C104" s="351">
        <v>0</v>
      </c>
      <c r="D104" s="351">
        <v>0</v>
      </c>
      <c r="E104" s="351">
        <v>0</v>
      </c>
      <c r="F104" s="350">
        <v>0</v>
      </c>
      <c r="G104" s="31"/>
      <c r="H104" s="31"/>
      <c r="I104" s="31"/>
      <c r="J104" s="193"/>
      <c r="K104" s="55"/>
      <c r="L104" s="43"/>
      <c r="M104" s="44"/>
      <c r="N104" s="44"/>
      <c r="O104" s="77"/>
    </row>
    <row r="105" spans="1:15" ht="21.75" customHeight="1" x14ac:dyDescent="0.25">
      <c r="A105" s="371" t="s">
        <v>30</v>
      </c>
      <c r="B105" s="372"/>
      <c r="C105" s="85">
        <f>C6+C10+C15+C21+C26+C30+C34+C45+C53+C69+C86+C78+C79+C94+C98+C102+C82+C93+C65+C18</f>
        <v>5445168</v>
      </c>
      <c r="D105" s="85">
        <f>D6+D10+D15+D21+D26+D30+D34+D45+D53+D69+D86+D78+D79+D94+D98+D102+D82+D93+D65+D18</f>
        <v>15299145</v>
      </c>
      <c r="E105" s="85">
        <f>E6+E10+E15+E21+E26+E30+E34+E45+E53+E69+E86+E78+E79+E94+E98+E102+E82+E93+E65+E18</f>
        <v>20401420</v>
      </c>
      <c r="F105" s="83">
        <f t="shared" si="19"/>
        <v>133.35006629455438</v>
      </c>
      <c r="G105" s="125"/>
      <c r="H105" s="88"/>
      <c r="I105" s="88"/>
      <c r="J105" s="88"/>
      <c r="K105" s="111"/>
      <c r="L105" s="43"/>
      <c r="M105" s="78"/>
      <c r="N105" s="79"/>
      <c r="O105" s="78"/>
    </row>
    <row r="106" spans="1:15" ht="21" customHeight="1" x14ac:dyDescent="0.2">
      <c r="A106" s="307" t="s">
        <v>114</v>
      </c>
      <c r="B106" s="308"/>
      <c r="C106" s="30">
        <f>C97+C25+C14+C9</f>
        <v>9416</v>
      </c>
      <c r="D106" s="30">
        <f>D97+D73+D25+D14+D9</f>
        <v>9566</v>
      </c>
      <c r="E106" s="30">
        <f>E97+E73+E25+E14+E9</f>
        <v>11160220</v>
      </c>
      <c r="F106" s="309">
        <f>(E106/D106)*100</f>
        <v>116665.48191511603</v>
      </c>
      <c r="G106" s="31"/>
      <c r="H106" s="87"/>
      <c r="I106" s="87"/>
      <c r="J106" s="87"/>
      <c r="K106" s="68"/>
      <c r="L106" s="43"/>
      <c r="M106" s="78"/>
      <c r="N106" s="79"/>
      <c r="O106" s="78"/>
    </row>
    <row r="107" spans="1:15" ht="32.25" thickBot="1" x14ac:dyDescent="0.3">
      <c r="A107" s="126" t="s">
        <v>31</v>
      </c>
      <c r="B107" s="127"/>
      <c r="C107" s="84">
        <f>C105-C106</f>
        <v>5435752</v>
      </c>
      <c r="D107" s="84">
        <f>D105-D106</f>
        <v>15289579</v>
      </c>
      <c r="E107" s="84">
        <f>E105-E106</f>
        <v>9241200</v>
      </c>
      <c r="F107" s="82">
        <f>(E107/D107)*100</f>
        <v>60.441167150514744</v>
      </c>
      <c r="G107" s="125"/>
      <c r="H107" s="27"/>
      <c r="I107" s="27"/>
      <c r="J107" s="75"/>
      <c r="K107" s="72"/>
      <c r="L107" s="41"/>
      <c r="M107" s="78"/>
      <c r="N107" s="79"/>
      <c r="O107" s="78"/>
    </row>
    <row r="108" spans="1:15" ht="18.75" customHeight="1" thickTop="1" x14ac:dyDescent="0.25">
      <c r="A108" s="367" t="s">
        <v>9</v>
      </c>
      <c r="B108" s="367"/>
      <c r="C108" s="367"/>
      <c r="D108" s="367"/>
      <c r="E108" s="367"/>
      <c r="G108" s="27"/>
      <c r="H108" s="27"/>
      <c r="I108" s="27"/>
      <c r="J108" s="75"/>
      <c r="K108" s="72"/>
      <c r="L108" s="41"/>
      <c r="M108" s="78"/>
      <c r="N108" s="79"/>
      <c r="O108" s="78"/>
    </row>
    <row r="109" spans="1:15" x14ac:dyDescent="0.2">
      <c r="A109" s="367"/>
      <c r="B109" s="367"/>
      <c r="C109" s="367"/>
      <c r="D109" s="367"/>
      <c r="E109" s="367"/>
      <c r="F109" s="57"/>
      <c r="G109" s="57"/>
      <c r="H109" s="57"/>
      <c r="I109" s="57"/>
      <c r="J109" s="52"/>
      <c r="L109" s="56"/>
    </row>
    <row r="110" spans="1:15" x14ac:dyDescent="0.2">
      <c r="J110" s="52"/>
    </row>
    <row r="111" spans="1:15" x14ac:dyDescent="0.2">
      <c r="J111" s="52"/>
    </row>
    <row r="112" spans="1:15" x14ac:dyDescent="0.2">
      <c r="J112" s="52"/>
    </row>
    <row r="113" spans="1:14" ht="15" thickBot="1" x14ac:dyDescent="0.25">
      <c r="A113" s="222" t="s">
        <v>95</v>
      </c>
      <c r="F113" s="298" t="s">
        <v>0</v>
      </c>
      <c r="J113" s="52"/>
    </row>
    <row r="114" spans="1:14" ht="25.5" customHeight="1" thickTop="1" thickBot="1" x14ac:dyDescent="0.25">
      <c r="A114" s="380" t="s">
        <v>93</v>
      </c>
      <c r="B114" s="381"/>
      <c r="C114" s="274" t="s">
        <v>12</v>
      </c>
      <c r="D114" s="274" t="s">
        <v>13</v>
      </c>
      <c r="E114" s="275" t="s">
        <v>4</v>
      </c>
      <c r="F114" s="276" t="s">
        <v>5</v>
      </c>
      <c r="J114" s="52"/>
    </row>
    <row r="115" spans="1:14" ht="15.75" thickTop="1" thickBot="1" x14ac:dyDescent="0.25">
      <c r="A115" s="380">
        <v>1</v>
      </c>
      <c r="B115" s="381"/>
      <c r="C115" s="274">
        <v>2</v>
      </c>
      <c r="D115" s="274">
        <v>3</v>
      </c>
      <c r="E115" s="274">
        <v>4</v>
      </c>
      <c r="F115" s="273" t="s">
        <v>98</v>
      </c>
      <c r="J115" s="52"/>
      <c r="K115" s="17"/>
      <c r="N115" s="17"/>
    </row>
    <row r="116" spans="1:14" ht="15" thickTop="1" x14ac:dyDescent="0.2">
      <c r="A116" s="382" t="s">
        <v>115</v>
      </c>
      <c r="B116" s="383"/>
      <c r="C116" s="303">
        <f>C103+C99+C95+C91+C88+C83+C80+C76+C71+C66+C59+C55+C51+C47+C43+C40+C36+C31+C27+C22+C19+C16+C11+C7+C93+C78</f>
        <v>3800009</v>
      </c>
      <c r="D116" s="303">
        <f>D103+D99+D95+D91+D88+D83+D80+D76+D71+D66+D59+D55+D51+D47+D43+D40+D36+D31+D27+D22+D19+D16+D11+D7+D93+D78</f>
        <v>12724251</v>
      </c>
      <c r="E116" s="303">
        <f>E103+E99+E95+E91+E88+E83+E80+E76+E71+E66+E59+E55+E51+E47+E43+E40+E36+E31+E27+E22+E19+E16+E11+E7+E93+E78</f>
        <v>8231404</v>
      </c>
      <c r="F116" s="304">
        <f>E116/D116*100</f>
        <v>64.690676095591002</v>
      </c>
      <c r="J116" s="52"/>
      <c r="K116" s="17"/>
      <c r="N116" s="17"/>
    </row>
    <row r="117" spans="1:14" x14ac:dyDescent="0.2">
      <c r="A117" s="384" t="s">
        <v>116</v>
      </c>
      <c r="B117" s="385"/>
      <c r="C117" s="241">
        <f>C104+C100+C92+C89+C84+C81+C77+C72+C67+C60+C56+C52+C48+C44+C41+C37+C32+C28+C23+C20+C17+C12+C8+C96</f>
        <v>1216298</v>
      </c>
      <c r="D117" s="241">
        <f>D104+D100+D92+D89+D84+D81+D77+D72+D67+D60+D56+D52+D48+D44+D41+D37+D32+D28+D23+D20+D17+D12+D8+D96</f>
        <v>1971488</v>
      </c>
      <c r="E117" s="241">
        <f>E104+E100+E92+E89+E84+E81+E77+E72+E67+E60+E56+E52+E48+E44+E41+E37+E32+E28+E23+E20+E17+E12+E8+E96</f>
        <v>734601</v>
      </c>
      <c r="F117" s="242">
        <f>E117/D117*100</f>
        <v>37.261246327646937</v>
      </c>
      <c r="J117" s="52"/>
      <c r="K117" s="17"/>
      <c r="N117" s="17"/>
    </row>
    <row r="118" spans="1:14" x14ac:dyDescent="0.2">
      <c r="A118" s="386" t="s">
        <v>112</v>
      </c>
      <c r="B118" s="387"/>
      <c r="C118" s="241">
        <f>C101+C85+C74+C68+C57+C49+C38+C33+C29+C24</f>
        <v>419445</v>
      </c>
      <c r="D118" s="241">
        <f>D101+D85+D74+D68+D57+D49+D38+D33+D29+D24</f>
        <v>593840</v>
      </c>
      <c r="E118" s="241">
        <f>E101+E85+E74+E68+E57+E49+E38+E33+E29+E24</f>
        <v>275195</v>
      </c>
      <c r="F118" s="302">
        <f>E118/D118*100</f>
        <v>46.341607166913647</v>
      </c>
      <c r="J118" s="52"/>
      <c r="K118" s="17"/>
      <c r="N118" s="17"/>
    </row>
    <row r="119" spans="1:14" ht="15" thickBot="1" x14ac:dyDescent="0.25">
      <c r="A119" s="376" t="s">
        <v>114</v>
      </c>
      <c r="B119" s="377"/>
      <c r="C119" s="305">
        <f>C106</f>
        <v>9416</v>
      </c>
      <c r="D119" s="305">
        <f>D106</f>
        <v>9566</v>
      </c>
      <c r="E119" s="305">
        <f>E106</f>
        <v>11160220</v>
      </c>
      <c r="F119" s="306">
        <f>(E119/D119)*100</f>
        <v>116665.48191511603</v>
      </c>
      <c r="J119" s="52"/>
      <c r="K119" s="17"/>
      <c r="N119" s="17"/>
    </row>
    <row r="120" spans="1:14" ht="15" customHeight="1" thickTop="1" x14ac:dyDescent="0.2">
      <c r="A120" s="378" t="s">
        <v>126</v>
      </c>
      <c r="B120" s="379"/>
      <c r="C120" s="345">
        <f>C116+C117+C118+C119</f>
        <v>5445168</v>
      </c>
      <c r="D120" s="345">
        <f t="shared" ref="D120:E120" si="28">D116+D117+D118+D119</f>
        <v>15299145</v>
      </c>
      <c r="E120" s="345">
        <f t="shared" si="28"/>
        <v>20401420</v>
      </c>
      <c r="F120" s="346">
        <f>(E120/D120)*100</f>
        <v>133.35006629455438</v>
      </c>
      <c r="J120" s="52"/>
      <c r="K120" s="17"/>
      <c r="N120" s="17"/>
    </row>
    <row r="121" spans="1:14" x14ac:dyDescent="0.2">
      <c r="A121" s="369" t="s">
        <v>114</v>
      </c>
      <c r="B121" s="370"/>
      <c r="C121" s="347">
        <f>C119</f>
        <v>9416</v>
      </c>
      <c r="D121" s="347">
        <f t="shared" ref="D121:E121" si="29">D119</f>
        <v>9566</v>
      </c>
      <c r="E121" s="347">
        <f t="shared" si="29"/>
        <v>11160220</v>
      </c>
      <c r="F121" s="348">
        <f>(E121/D121)*100</f>
        <v>116665.48191511603</v>
      </c>
      <c r="H121" s="56"/>
      <c r="I121" s="56"/>
      <c r="J121" s="56"/>
      <c r="K121" s="17"/>
      <c r="N121" s="17"/>
    </row>
    <row r="122" spans="1:14" ht="15.75" thickBot="1" x14ac:dyDescent="0.3">
      <c r="A122" s="342" t="s">
        <v>127</v>
      </c>
      <c r="B122" s="343"/>
      <c r="C122" s="344">
        <f>C120-C121</f>
        <v>5435752</v>
      </c>
      <c r="D122" s="344">
        <f>D120-D121</f>
        <v>15289579</v>
      </c>
      <c r="E122" s="344">
        <f>E120-E121</f>
        <v>9241200</v>
      </c>
      <c r="F122" s="341">
        <f>(E122/D122)*100</f>
        <v>60.441167150514744</v>
      </c>
      <c r="H122" s="89"/>
      <c r="I122" s="89"/>
      <c r="J122" s="89"/>
      <c r="K122" s="17"/>
      <c r="N122" s="17"/>
    </row>
    <row r="123" spans="1:14" ht="15" thickTop="1" x14ac:dyDescent="0.2"/>
  </sheetData>
  <mergeCells count="12">
    <mergeCell ref="A121:B121"/>
    <mergeCell ref="A105:B105"/>
    <mergeCell ref="A1:F1"/>
    <mergeCell ref="A2:F2"/>
    <mergeCell ref="A119:B119"/>
    <mergeCell ref="A120:B120"/>
    <mergeCell ref="A108:E109"/>
    <mergeCell ref="A114:B114"/>
    <mergeCell ref="A115:B115"/>
    <mergeCell ref="A116:B116"/>
    <mergeCell ref="A117:B117"/>
    <mergeCell ref="A118:B118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3" orientation="portrait" useFirstPageNumber="1" r:id="rId1"/>
  <headerFooter alignWithMargins="0">
    <oddFooter xml:space="preserve">&amp;L&amp;"Arial,Kurzíva"Zastupitelstvo Olomouckého kraje 17. 9. 2018
7.2. - Rozpočet Olomouckého kraje 2018 - plnění rozpočtu k 31. 7. 2018
Příloha č.1 - Plnění rozpočtu Olomouckého kraje k 31. 7. 2018&amp;R&amp;"Arial,Kurzíva"Strana &amp;P (Celkem 6)
</oddFooter>
  </headerFooter>
  <rowBreaks count="1" manualBreakCount="1">
    <brk id="61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E10" sqref="E10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368" t="s">
        <v>130</v>
      </c>
      <c r="B1" s="368"/>
      <c r="C1" s="368"/>
      <c r="D1" s="368"/>
      <c r="E1" s="368"/>
    </row>
    <row r="3" spans="1:7" x14ac:dyDescent="0.2">
      <c r="A3" s="366" t="s">
        <v>100</v>
      </c>
      <c r="B3" s="366"/>
      <c r="C3" s="366"/>
      <c r="D3" s="366"/>
      <c r="E3" s="366"/>
    </row>
    <row r="4" spans="1:7" ht="30.75" customHeight="1" x14ac:dyDescent="0.2">
      <c r="A4" s="366"/>
      <c r="B4" s="366"/>
      <c r="C4" s="366"/>
      <c r="D4" s="366"/>
      <c r="E4" s="366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9" t="s">
        <v>90</v>
      </c>
      <c r="B7" s="270" t="s">
        <v>12</v>
      </c>
      <c r="C7" s="271" t="s">
        <v>13</v>
      </c>
      <c r="D7" s="271" t="s">
        <v>4</v>
      </c>
      <c r="E7" s="271" t="s">
        <v>5</v>
      </c>
      <c r="F7" s="13"/>
      <c r="G7" s="13"/>
    </row>
    <row r="8" spans="1:7" ht="14.25" thickTop="1" thickBot="1" x14ac:dyDescent="0.25">
      <c r="A8" s="267">
        <v>1</v>
      </c>
      <c r="B8" s="265">
        <v>2</v>
      </c>
      <c r="C8" s="265">
        <v>3</v>
      </c>
      <c r="D8" s="265">
        <v>4</v>
      </c>
      <c r="E8" s="265" t="s">
        <v>6</v>
      </c>
      <c r="F8" s="13"/>
      <c r="G8" s="13"/>
    </row>
    <row r="9" spans="1:7" ht="15" thickTop="1" x14ac:dyDescent="0.2">
      <c r="A9" s="246" t="s">
        <v>117</v>
      </c>
      <c r="B9" s="247">
        <v>0</v>
      </c>
      <c r="C9" s="248">
        <v>335031</v>
      </c>
      <c r="D9" s="248">
        <v>334649</v>
      </c>
      <c r="E9" s="80">
        <f>(D9/C9)*100</f>
        <v>99.885980700293402</v>
      </c>
      <c r="F9" s="13"/>
      <c r="G9" s="13"/>
    </row>
    <row r="10" spans="1:7" ht="28.5" x14ac:dyDescent="0.2">
      <c r="A10" s="244" t="s">
        <v>118</v>
      </c>
      <c r="B10" s="249">
        <v>402200</v>
      </c>
      <c r="C10" s="245">
        <v>1206289</v>
      </c>
      <c r="D10" s="245">
        <v>-306553</v>
      </c>
      <c r="E10" s="237">
        <f>(D10/C10)*100</f>
        <v>-25.412898567424559</v>
      </c>
      <c r="F10" s="13"/>
      <c r="G10" s="13"/>
    </row>
    <row r="11" spans="1:7" ht="28.5" x14ac:dyDescent="0.2">
      <c r="A11" s="244" t="s">
        <v>123</v>
      </c>
      <c r="B11" s="249">
        <v>100000</v>
      </c>
      <c r="C11" s="245">
        <v>100000</v>
      </c>
      <c r="D11" s="245">
        <v>100000</v>
      </c>
      <c r="E11" s="237">
        <f t="shared" ref="E11:E13" si="0">(D11/C11)*100</f>
        <v>100</v>
      </c>
      <c r="F11" s="13"/>
      <c r="G11" s="13"/>
    </row>
    <row r="12" spans="1:7" ht="28.5" x14ac:dyDescent="0.2">
      <c r="A12" s="244" t="s">
        <v>125</v>
      </c>
      <c r="B12" s="249">
        <v>0</v>
      </c>
      <c r="C12" s="245">
        <v>0</v>
      </c>
      <c r="D12" s="245">
        <v>-100000</v>
      </c>
      <c r="E12" s="237"/>
      <c r="F12" s="13"/>
      <c r="G12" s="13"/>
    </row>
    <row r="13" spans="1:7" ht="14.25" x14ac:dyDescent="0.2">
      <c r="A13" s="244" t="s">
        <v>124</v>
      </c>
      <c r="B13" s="249">
        <v>300000</v>
      </c>
      <c r="C13" s="245">
        <v>300000</v>
      </c>
      <c r="D13" s="245">
        <v>40879</v>
      </c>
      <c r="E13" s="237">
        <f t="shared" si="0"/>
        <v>13.626333333333331</v>
      </c>
      <c r="F13" s="13"/>
      <c r="G13" s="13"/>
    </row>
    <row r="14" spans="1:7" ht="15" x14ac:dyDescent="0.25">
      <c r="A14" s="223" t="s">
        <v>119</v>
      </c>
      <c r="B14" s="227">
        <v>-253159</v>
      </c>
      <c r="C14" s="232">
        <v>-456347</v>
      </c>
      <c r="D14" s="232">
        <v>-335323</v>
      </c>
      <c r="E14" s="237">
        <f>(D14/C14)*100</f>
        <v>73.47983004161307</v>
      </c>
      <c r="F14" s="27"/>
      <c r="G14" s="13"/>
    </row>
    <row r="15" spans="1:7" ht="15" x14ac:dyDescent="0.25">
      <c r="A15" s="224" t="s">
        <v>120</v>
      </c>
      <c r="B15" s="250">
        <v>0</v>
      </c>
      <c r="C15" s="233">
        <v>0</v>
      </c>
      <c r="D15" s="233">
        <v>-7591</v>
      </c>
      <c r="E15" s="262"/>
      <c r="F15" s="27"/>
      <c r="G15" s="13"/>
    </row>
    <row r="16" spans="1:7" ht="16.5" thickBot="1" x14ac:dyDescent="0.3">
      <c r="A16" s="238" t="s">
        <v>91</v>
      </c>
      <c r="B16" s="239">
        <f>SUM(B9:B15)</f>
        <v>549041</v>
      </c>
      <c r="C16" s="239">
        <f>SUM(C9:C15)</f>
        <v>1484973</v>
      </c>
      <c r="D16" s="239">
        <f>SUM(D9:D15)</f>
        <v>-273939</v>
      </c>
      <c r="E16" s="240">
        <f>(D16/C16)*100</f>
        <v>-18.447406114454605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5" orientation="portrait" cellComments="asDisplayed" useFirstPageNumber="1" r:id="rId1"/>
  <headerFooter alignWithMargins="0">
    <oddFooter xml:space="preserve">&amp;L&amp;"Arial CE,Kurzíva"Zastupitelstvo Olomouckého kraje 17. 9. 2018
7.2. - Rozpočet Olomouckého kraje 2018 - plnění rozpočtu k 31. 7. 2018
Příloha č. 1 - Plnění rozpočtu Olomouckého kraje k 31. 7. 2018&amp;R&amp;"Arial CE,Kurzíva"Strana &amp;P (Celkem 6)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tabSelected="1" view="pageBreakPreview" zoomScale="110" zoomScaleNormal="100" zoomScaleSheetLayoutView="110" workbookViewId="0">
      <selection activeCell="G10" sqref="G1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391" t="s">
        <v>131</v>
      </c>
      <c r="B1" s="391"/>
      <c r="C1" s="391"/>
      <c r="D1" s="391"/>
      <c r="E1" s="391"/>
      <c r="F1" s="391"/>
      <c r="G1" s="391"/>
      <c r="H1" s="391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392" t="s">
        <v>74</v>
      </c>
      <c r="H4" s="392"/>
    </row>
    <row r="5" spans="1:21" s="93" customFormat="1" ht="14.25" customHeight="1" thickTop="1" thickBot="1" x14ac:dyDescent="0.25">
      <c r="A5" s="277"/>
      <c r="B5" s="278"/>
      <c r="C5" s="278"/>
      <c r="D5" s="279"/>
      <c r="E5" s="265" t="s">
        <v>12</v>
      </c>
      <c r="F5" s="265" t="s">
        <v>13</v>
      </c>
      <c r="G5" s="265" t="s">
        <v>4</v>
      </c>
      <c r="H5" s="268" t="s">
        <v>5</v>
      </c>
    </row>
    <row r="6" spans="1:21" s="93" customFormat="1" ht="14.25" customHeight="1" thickTop="1" thickBot="1" x14ac:dyDescent="0.25">
      <c r="A6" s="388">
        <v>1</v>
      </c>
      <c r="B6" s="389"/>
      <c r="C6" s="389"/>
      <c r="D6" s="390"/>
      <c r="E6" s="280">
        <v>2</v>
      </c>
      <c r="F6" s="280">
        <v>3</v>
      </c>
      <c r="G6" s="280">
        <v>4</v>
      </c>
      <c r="H6" s="281" t="s">
        <v>98</v>
      </c>
    </row>
    <row r="7" spans="1:21" s="96" customFormat="1" ht="19.5" thickTop="1" x14ac:dyDescent="0.4">
      <c r="A7" s="282" t="s">
        <v>39</v>
      </c>
      <c r="B7" s="283"/>
      <c r="C7" s="283"/>
      <c r="D7" s="284"/>
      <c r="E7" s="285">
        <f>Příjmy!B15</f>
        <v>4886711</v>
      </c>
      <c r="F7" s="285">
        <f>Příjmy!C15</f>
        <v>13804606</v>
      </c>
      <c r="G7" s="285">
        <f>Příjmy!D15</f>
        <v>9515139</v>
      </c>
      <c r="H7" s="286">
        <f>(G7/F7)*100</f>
        <v>68.927276881353947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7" t="s">
        <v>40</v>
      </c>
      <c r="B8" s="288"/>
      <c r="C8" s="288"/>
      <c r="D8" s="289"/>
      <c r="E8" s="290">
        <f>Výdaje!C107</f>
        <v>5435752</v>
      </c>
      <c r="F8" s="290">
        <f>Výdaje!D107</f>
        <v>15289579</v>
      </c>
      <c r="G8" s="290">
        <f>Výdaje!E107</f>
        <v>9241200</v>
      </c>
      <c r="H8" s="291">
        <f>(G8/F8)*100</f>
        <v>60.441167150514744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7" t="s">
        <v>90</v>
      </c>
      <c r="B9" s="288"/>
      <c r="C9" s="288"/>
      <c r="D9" s="289"/>
      <c r="E9" s="290">
        <f>Financování!B16</f>
        <v>549041</v>
      </c>
      <c r="F9" s="290">
        <f>Financování!C16</f>
        <v>1484973</v>
      </c>
      <c r="G9" s="290">
        <f>Financování!D16</f>
        <v>-273939</v>
      </c>
      <c r="H9" s="291">
        <f>(G9/F9)*100</f>
        <v>-18.447406114454605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2" t="s">
        <v>94</v>
      </c>
      <c r="B10" s="293"/>
      <c r="C10" s="293"/>
      <c r="D10" s="293"/>
      <c r="E10" s="294"/>
      <c r="F10" s="295"/>
      <c r="G10" s="296">
        <f>G7-G8</f>
        <v>273939</v>
      </c>
      <c r="H10" s="297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Footer xml:space="preserve">&amp;L&amp;"Arial CE,Kurzíva"Zastupitelstvo Olomouckého kraje 17. 9. 2018
7.2. - Rozpočet Olomouckého kraje 2018 - plnění rozpočtu k 31. 7. 2018
Příloha č.1 - Plnění rozpočtu Olomouckého kraje k 31. 7. 2018&amp;R&amp;"Arial CE,Kurzíva"Strana &amp;P (Celkem 6)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373" t="s">
        <v>75</v>
      </c>
      <c r="B1" s="393"/>
      <c r="C1" s="393"/>
      <c r="D1" s="393"/>
      <c r="E1" s="393"/>
      <c r="F1" s="393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10</v>
      </c>
      <c r="B3" s="159" t="s">
        <v>11</v>
      </c>
      <c r="C3" s="160" t="s">
        <v>12</v>
      </c>
      <c r="D3" s="160" t="s">
        <v>13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19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15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16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17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18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44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394"/>
      <c r="B29" s="395"/>
      <c r="C29" s="395"/>
      <c r="D29" s="395"/>
      <c r="E29" s="395"/>
      <c r="F29" s="395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395"/>
      <c r="B30" s="395"/>
      <c r="C30" s="395"/>
      <c r="D30" s="395"/>
      <c r="E30" s="395"/>
      <c r="F30" s="395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396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396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36</v>
      </c>
      <c r="C3" s="102" t="s">
        <v>37</v>
      </c>
    </row>
    <row r="4" spans="1:3" x14ac:dyDescent="0.2">
      <c r="A4" s="102" t="s">
        <v>12</v>
      </c>
      <c r="B4" s="102">
        <f>Rekapitulace!E7</f>
        <v>4886711</v>
      </c>
      <c r="C4" s="102">
        <f>Rekapitulace!E8</f>
        <v>5435752</v>
      </c>
    </row>
    <row r="5" spans="1:3" x14ac:dyDescent="0.2">
      <c r="A5" s="102" t="s">
        <v>13</v>
      </c>
      <c r="B5" s="102">
        <f>Rekapitulace!F7</f>
        <v>13804606</v>
      </c>
      <c r="C5" s="102">
        <f>Rekapitulace!F8</f>
        <v>15289579</v>
      </c>
    </row>
    <row r="6" spans="1:3" x14ac:dyDescent="0.2">
      <c r="A6" s="102" t="s">
        <v>4</v>
      </c>
      <c r="B6" s="102">
        <f>Rekapitulace!G7</f>
        <v>9515139</v>
      </c>
      <c r="C6" s="102">
        <f>Rekapitulace!G8</f>
        <v>9241200</v>
      </c>
    </row>
    <row r="32" spans="1:3" x14ac:dyDescent="0.2">
      <c r="A32" s="102"/>
      <c r="B32" s="102" t="s">
        <v>42</v>
      </c>
      <c r="C32" s="102" t="s">
        <v>43</v>
      </c>
    </row>
    <row r="33" spans="1:3" x14ac:dyDescent="0.2">
      <c r="A33" s="102" t="s">
        <v>12</v>
      </c>
      <c r="B33" s="102" t="e">
        <f>Příjmy!#REF!</f>
        <v>#REF!</v>
      </c>
      <c r="C33" s="102" t="e">
        <f>Výdaje!#REF!</f>
        <v>#REF!</v>
      </c>
    </row>
    <row r="34" spans="1:3" x14ac:dyDescent="0.2">
      <c r="A34" s="102" t="s">
        <v>13</v>
      </c>
      <c r="B34" s="102" t="e">
        <f>Příjmy!#REF!</f>
        <v>#REF!</v>
      </c>
      <c r="C34" s="102" t="e">
        <f>Výdaje!#REF!</f>
        <v>#REF!</v>
      </c>
    </row>
    <row r="35" spans="1:3" x14ac:dyDescent="0.2">
      <c r="A35" s="102" t="s">
        <v>4</v>
      </c>
      <c r="B35" s="102" t="e">
        <f>Příjmy!#REF!</f>
        <v>#REF!</v>
      </c>
      <c r="C35" s="102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57</v>
      </c>
      <c r="F3" t="s">
        <v>61</v>
      </c>
    </row>
    <row r="4" spans="1:6" x14ac:dyDescent="0.2">
      <c r="C4" s="130"/>
      <c r="D4" s="130">
        <v>97035000</v>
      </c>
      <c r="E4" t="s">
        <v>58</v>
      </c>
      <c r="F4" t="s">
        <v>61</v>
      </c>
    </row>
    <row r="5" spans="1:6" x14ac:dyDescent="0.2">
      <c r="C5" s="130"/>
      <c r="D5" s="130">
        <v>23237000</v>
      </c>
      <c r="E5" t="s">
        <v>59</v>
      </c>
      <c r="F5" t="s">
        <v>61</v>
      </c>
    </row>
    <row r="6" spans="1:6" x14ac:dyDescent="0.2">
      <c r="C6" s="130"/>
    </row>
    <row r="8" spans="1:6" x14ac:dyDescent="0.2">
      <c r="A8" s="134" t="s">
        <v>46</v>
      </c>
      <c r="B8" s="134" t="s">
        <v>11</v>
      </c>
      <c r="C8" s="135">
        <v>8115</v>
      </c>
      <c r="D8" s="134" t="s">
        <v>47</v>
      </c>
      <c r="E8" s="134" t="s">
        <v>48</v>
      </c>
    </row>
    <row r="9" spans="1:6" x14ac:dyDescent="0.2">
      <c r="A9" s="131" t="s">
        <v>60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49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50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51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52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52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52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53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53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54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55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56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56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62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62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63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64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65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67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68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69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66</v>
      </c>
      <c r="B30">
        <v>7</v>
      </c>
      <c r="C30" s="138">
        <v>8511507.6600000001</v>
      </c>
      <c r="E30">
        <v>71000000000</v>
      </c>
      <c r="F30" s="138" t="s">
        <v>72</v>
      </c>
      <c r="G30" s="130">
        <f>SUM(C9:C30)</f>
        <v>510782243.04000002</v>
      </c>
    </row>
    <row r="31" spans="1:7" x14ac:dyDescent="0.2">
      <c r="A31" s="131" t="s">
        <v>70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71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71</v>
      </c>
      <c r="B33">
        <v>10</v>
      </c>
      <c r="C33" s="138">
        <v>14430.49</v>
      </c>
      <c r="D33">
        <v>19</v>
      </c>
      <c r="E33">
        <v>71000000000</v>
      </c>
      <c r="F33" s="130" t="s">
        <v>73</v>
      </c>
      <c r="G33" s="130">
        <f>SUM(C31:C33)</f>
        <v>88908.49</v>
      </c>
    </row>
    <row r="34" spans="1:7" x14ac:dyDescent="0.2">
      <c r="A34" s="132" t="s">
        <v>79</v>
      </c>
      <c r="B34">
        <v>7</v>
      </c>
      <c r="C34" s="138">
        <v>1716423.13</v>
      </c>
      <c r="D34">
        <v>19</v>
      </c>
      <c r="E34">
        <v>73000000000</v>
      </c>
      <c r="F34" s="130" t="s">
        <v>76</v>
      </c>
      <c r="G34" s="130">
        <f>C34</f>
        <v>1716423.13</v>
      </c>
    </row>
    <row r="35" spans="1:7" x14ac:dyDescent="0.2">
      <c r="A35" s="132" t="s">
        <v>80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81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81</v>
      </c>
      <c r="B37">
        <v>7</v>
      </c>
      <c r="C37" s="138">
        <v>19089.3</v>
      </c>
      <c r="D37">
        <v>25</v>
      </c>
      <c r="E37">
        <v>71000000000</v>
      </c>
      <c r="F37" s="130" t="s">
        <v>77</v>
      </c>
      <c r="G37" s="130">
        <f>C35+C36+C37</f>
        <v>194151451.51000002</v>
      </c>
    </row>
    <row r="38" spans="1:7" x14ac:dyDescent="0.2">
      <c r="A38" s="132" t="s">
        <v>82</v>
      </c>
      <c r="B38">
        <v>199</v>
      </c>
      <c r="C38" s="138">
        <v>771707.14</v>
      </c>
      <c r="E38">
        <v>71000000000</v>
      </c>
      <c r="F38" s="130" t="s">
        <v>78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83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32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74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397">
        <v>1</v>
      </c>
      <c r="B6" s="398"/>
      <c r="C6" s="398"/>
      <c r="D6" s="399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33</v>
      </c>
      <c r="B7" s="115"/>
      <c r="C7" s="115"/>
      <c r="D7" s="140"/>
      <c r="E7" s="144" t="e">
        <f>Příjmy!#REF!</f>
        <v>#REF!</v>
      </c>
      <c r="F7" s="144" t="e">
        <f>Příjmy!#REF!</f>
        <v>#REF!</v>
      </c>
      <c r="G7" s="144" t="e">
        <f>Příjmy!#REF!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84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34</v>
      </c>
      <c r="B9" s="121"/>
      <c r="C9" s="121"/>
      <c r="D9" s="142"/>
      <c r="E9" s="146" t="e">
        <f>Výdaje!#REF!+Výdaje!#REF!</f>
        <v>#REF!</v>
      </c>
      <c r="F9" s="146" t="e">
        <f>Výdaje!#REF!+Výdaje!#REF!</f>
        <v>#REF!</v>
      </c>
      <c r="G9" s="146" t="e">
        <f>Výdaje!#REF!+Výdaje!#REF!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85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35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38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74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397">
        <v>1</v>
      </c>
      <c r="B40" s="398"/>
      <c r="C40" s="398"/>
      <c r="D40" s="399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39</v>
      </c>
      <c r="B41" s="106"/>
      <c r="C41" s="106"/>
      <c r="D41" s="107"/>
      <c r="E41" s="154" t="e">
        <f>Příjmy!#REF!</f>
        <v>#REF!</v>
      </c>
      <c r="F41" s="154" t="e">
        <f>Příjmy!#REF!</f>
        <v>#REF!</v>
      </c>
      <c r="G41" s="154" t="e">
        <f>Příjmy!#REF!</f>
        <v>#REF!</v>
      </c>
      <c r="H41" s="157" t="e">
        <f>(G41/F41)*100</f>
        <v>#REF!</v>
      </c>
    </row>
    <row r="42" spans="1:8" ht="19.5" x14ac:dyDescent="0.4">
      <c r="A42" s="108" t="s">
        <v>40</v>
      </c>
      <c r="B42" s="109"/>
      <c r="C42" s="109"/>
      <c r="D42" s="110"/>
      <c r="E42" s="155" t="e">
        <f>Výdaje!#REF!</f>
        <v>#REF!</v>
      </c>
      <c r="F42" s="155" t="e">
        <f>Výdaje!#REF!</f>
        <v>#REF!</v>
      </c>
      <c r="G42" s="155" t="e">
        <f>Výdaje!#REF!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41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2018-08-02T07:43:43Z</cp:lastPrinted>
  <dcterms:created xsi:type="dcterms:W3CDTF">2010-11-26T09:05:32Z</dcterms:created>
  <dcterms:modified xsi:type="dcterms:W3CDTF">2018-08-28T06:35:24Z</dcterms:modified>
</cp:coreProperties>
</file>