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3\ZOK 17.6.2024\"/>
    </mc:Choice>
  </mc:AlternateContent>
  <xr:revisionPtr revIDLastSave="0" documentId="13_ncr:1_{A92621A9-867B-4196-8E16-D1AF6C56C9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" sheetId="7" r:id="rId1"/>
    <sheet name="rekapitulace PO" sheetId="15" state="hidden" r:id="rId2"/>
    <sheet name="8a) OK 2023" sheetId="8" state="hidden" r:id="rId3"/>
    <sheet name="8b) Projekty spolufinancované" sheetId="14" state="hidden" r:id="rId4"/>
    <sheet name="8c) SMN" sheetId="13" state="hidden" r:id="rId5"/>
  </sheets>
  <definedNames>
    <definedName name="_xlnm.Print_Area" localSheetId="2">'8a) OK 2023'!$A$1:$E$432</definedName>
    <definedName name="_xlnm.Print_Area" localSheetId="3">'8b) Projekty spolufinancované'!$A$1:$E$297</definedName>
    <definedName name="_xlnm.Print_Area" localSheetId="4">'8c) SMN'!$A$1:$E$26</definedName>
    <definedName name="_xlnm.Print_Area" localSheetId="0">Rekapitulace!$A$1:$D$62</definedName>
    <definedName name="_xlnm.Print_Area" localSheetId="1">'rekapitulace PO'!$A$1:$D$35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2" i="14" l="1"/>
  <c r="E14" i="8"/>
  <c r="K302" i="14" l="1"/>
  <c r="L302" i="14"/>
  <c r="J302" i="14"/>
  <c r="K301" i="14"/>
  <c r="L301" i="14"/>
  <c r="J301" i="14"/>
  <c r="C32" i="15"/>
  <c r="D32" i="15"/>
  <c r="B32" i="15"/>
  <c r="C33" i="15"/>
  <c r="D33" i="15"/>
  <c r="B33" i="15"/>
  <c r="C15" i="15"/>
  <c r="D15" i="15"/>
  <c r="B15" i="15"/>
  <c r="C6" i="15"/>
  <c r="D6" i="15"/>
  <c r="B6" i="15"/>
  <c r="L297" i="14" l="1"/>
  <c r="L296" i="14"/>
  <c r="L295" i="14"/>
  <c r="L294" i="14"/>
  <c r="L293" i="14"/>
  <c r="J292" i="14"/>
  <c r="J291" i="14"/>
  <c r="J290" i="14"/>
  <c r="D150" i="14"/>
  <c r="C150" i="14"/>
  <c r="B150" i="14"/>
  <c r="D127" i="14"/>
  <c r="C127" i="14"/>
  <c r="B127" i="14"/>
  <c r="D113" i="14"/>
  <c r="B113" i="14"/>
  <c r="D70" i="14"/>
  <c r="C70" i="14"/>
  <c r="B70" i="14"/>
  <c r="D41" i="14"/>
  <c r="C41" i="14"/>
  <c r="B41" i="14"/>
  <c r="D7" i="14"/>
  <c r="C7" i="14"/>
  <c r="B7" i="14"/>
  <c r="C17" i="15"/>
  <c r="D17" i="15"/>
  <c r="B17" i="15"/>
  <c r="C14" i="15"/>
  <c r="D14" i="15"/>
  <c r="B14" i="15"/>
  <c r="C11" i="15"/>
  <c r="D11" i="15"/>
  <c r="B11" i="15"/>
  <c r="C8" i="15"/>
  <c r="D8" i="15"/>
  <c r="B8" i="15"/>
  <c r="C5" i="15"/>
  <c r="D5" i="15"/>
  <c r="B5" i="15"/>
  <c r="J441" i="8"/>
  <c r="D188" i="8"/>
  <c r="C188" i="8"/>
  <c r="B188" i="8"/>
  <c r="D140" i="8"/>
  <c r="C140" i="8"/>
  <c r="B140" i="8"/>
  <c r="B58" i="8"/>
  <c r="B7" i="8"/>
  <c r="E407" i="8"/>
  <c r="C406" i="8" l="1"/>
  <c r="D406" i="8"/>
  <c r="B406" i="8"/>
  <c r="B51" i="7" l="1"/>
  <c r="L368" i="8"/>
  <c r="L369" i="8" s="1"/>
  <c r="K368" i="8"/>
  <c r="K369" i="8" s="1"/>
  <c r="J368" i="8"/>
  <c r="J369" i="8" s="1"/>
  <c r="E366" i="8"/>
  <c r="D365" i="8"/>
  <c r="D369" i="8" s="1"/>
  <c r="D427" i="8" s="1"/>
  <c r="C365" i="8"/>
  <c r="C369" i="8" s="1"/>
  <c r="C427" i="8" s="1"/>
  <c r="B365" i="8"/>
  <c r="B369" i="8" s="1"/>
  <c r="B427" i="8" s="1"/>
  <c r="E412" i="8"/>
  <c r="D411" i="8"/>
  <c r="L416" i="8" s="1"/>
  <c r="L440" i="8" s="1"/>
  <c r="C411" i="8"/>
  <c r="K416" i="8" s="1"/>
  <c r="K440" i="8" s="1"/>
  <c r="B411" i="8"/>
  <c r="J416" i="8" s="1"/>
  <c r="J440" i="8" s="1"/>
  <c r="D318" i="8"/>
  <c r="C318" i="8"/>
  <c r="B318" i="8"/>
  <c r="B23" i="7" l="1"/>
  <c r="D23" i="7"/>
  <c r="C23" i="7"/>
  <c r="E427" i="8"/>
  <c r="E365" i="8"/>
  <c r="E369" i="8"/>
  <c r="E411" i="8"/>
  <c r="K389" i="8"/>
  <c r="L389" i="8"/>
  <c r="J389" i="8"/>
  <c r="L358" i="8"/>
  <c r="K358" i="8"/>
  <c r="J358" i="8"/>
  <c r="K319" i="8"/>
  <c r="L319" i="8"/>
  <c r="J319" i="8"/>
  <c r="K318" i="8"/>
  <c r="L318" i="8"/>
  <c r="J318" i="8"/>
  <c r="K272" i="8"/>
  <c r="L272" i="8"/>
  <c r="J272" i="8"/>
  <c r="K273" i="8"/>
  <c r="L273" i="8"/>
  <c r="J273" i="8"/>
  <c r="K271" i="8"/>
  <c r="L271" i="8"/>
  <c r="J271" i="8"/>
  <c r="K230" i="8"/>
  <c r="L230" i="8"/>
  <c r="J230" i="8"/>
  <c r="K229" i="8"/>
  <c r="L229" i="8"/>
  <c r="J229" i="8"/>
  <c r="K133" i="8"/>
  <c r="L133" i="8"/>
  <c r="K132" i="8"/>
  <c r="L132" i="8"/>
  <c r="J133" i="8"/>
  <c r="J132" i="8"/>
  <c r="E265" i="8"/>
  <c r="E259" i="8"/>
  <c r="E256" i="8"/>
  <c r="E312" i="8"/>
  <c r="E216" i="8"/>
  <c r="E214" i="8"/>
  <c r="E212" i="8"/>
  <c r="E211" i="8"/>
  <c r="E209" i="8"/>
  <c r="E207" i="8"/>
  <c r="E206" i="8"/>
  <c r="E202" i="8"/>
  <c r="E201" i="8"/>
  <c r="E199" i="8"/>
  <c r="E197" i="8"/>
  <c r="E196" i="8"/>
  <c r="E195" i="8"/>
  <c r="E191" i="8"/>
  <c r="E190" i="8"/>
  <c r="C58" i="8"/>
  <c r="D58" i="8"/>
  <c r="E126" i="8"/>
  <c r="E125" i="8"/>
  <c r="E124" i="8"/>
  <c r="E123" i="8"/>
  <c r="E122" i="8"/>
  <c r="E121" i="8"/>
  <c r="E117" i="8"/>
  <c r="E116" i="8"/>
  <c r="E115" i="8"/>
  <c r="E114" i="8"/>
  <c r="E113" i="8"/>
  <c r="E112" i="8"/>
  <c r="E108" i="8"/>
  <c r="E105" i="8"/>
  <c r="E100" i="8"/>
  <c r="E99" i="8"/>
  <c r="E98" i="8"/>
  <c r="E92" i="8"/>
  <c r="E89" i="8"/>
  <c r="J437" i="8" l="1"/>
  <c r="E86" i="8"/>
  <c r="E85" i="8"/>
  <c r="E80" i="8"/>
  <c r="E79" i="8"/>
  <c r="E78" i="8"/>
  <c r="E76" i="8"/>
  <c r="E75" i="8"/>
  <c r="E74" i="8"/>
  <c r="E73" i="8"/>
  <c r="E71" i="8"/>
  <c r="E66" i="8"/>
  <c r="E67" i="8"/>
  <c r="K258" i="14" l="1"/>
  <c r="L258" i="14"/>
  <c r="J258" i="14"/>
  <c r="D253" i="14"/>
  <c r="C253" i="14"/>
  <c r="B253" i="14"/>
  <c r="K297" i="14"/>
  <c r="J297" i="14"/>
  <c r="K296" i="14"/>
  <c r="J296" i="14"/>
  <c r="K295" i="14"/>
  <c r="J295" i="14"/>
  <c r="K294" i="14"/>
  <c r="J294" i="14"/>
  <c r="J293" i="14"/>
  <c r="K292" i="14"/>
  <c r="L292" i="14"/>
  <c r="J246" i="14"/>
  <c r="L227" i="14"/>
  <c r="K227" i="14"/>
  <c r="J227" i="14"/>
  <c r="K216" i="14"/>
  <c r="L216" i="14"/>
  <c r="J216" i="14"/>
  <c r="L215" i="14"/>
  <c r="K215" i="14"/>
  <c r="J215" i="14"/>
  <c r="K173" i="14"/>
  <c r="L173" i="14"/>
  <c r="J173" i="14"/>
  <c r="K175" i="14"/>
  <c r="L175" i="14"/>
  <c r="J175" i="14"/>
  <c r="L120" i="14"/>
  <c r="K120" i="14"/>
  <c r="J120" i="14"/>
  <c r="J118" i="14"/>
  <c r="J106" i="14"/>
  <c r="J105" i="14"/>
  <c r="K104" i="14"/>
  <c r="L104" i="14"/>
  <c r="J104" i="14"/>
  <c r="K103" i="14"/>
  <c r="L103" i="14"/>
  <c r="J103" i="14"/>
  <c r="J102" i="14"/>
  <c r="J101" i="14"/>
  <c r="K100" i="14"/>
  <c r="L100" i="14"/>
  <c r="K99" i="14"/>
  <c r="L99" i="14"/>
  <c r="J100" i="14"/>
  <c r="J99" i="14"/>
  <c r="L63" i="14"/>
  <c r="K63" i="14"/>
  <c r="J63" i="14"/>
  <c r="L62" i="14"/>
  <c r="K62" i="14"/>
  <c r="J62" i="14"/>
  <c r="J61" i="14"/>
  <c r="K61" i="14"/>
  <c r="L61" i="14"/>
  <c r="E60" i="14"/>
  <c r="E57" i="14"/>
  <c r="E54" i="14"/>
  <c r="E55" i="14"/>
  <c r="E56" i="14"/>
  <c r="E51" i="14"/>
  <c r="E48" i="14"/>
  <c r="E43" i="14"/>
  <c r="E44" i="14"/>
  <c r="E45" i="14"/>
  <c r="E46" i="14"/>
  <c r="E47" i="14"/>
  <c r="E49" i="14"/>
  <c r="E50" i="14"/>
  <c r="E52" i="14"/>
  <c r="E53" i="14"/>
  <c r="J107" i="14" l="1"/>
  <c r="K193" i="14"/>
  <c r="L193" i="14"/>
  <c r="J193" i="14"/>
  <c r="K192" i="14"/>
  <c r="L192" i="14"/>
  <c r="J192" i="14"/>
  <c r="K245" i="14"/>
  <c r="L245" i="14"/>
  <c r="J245" i="14"/>
  <c r="D234" i="14"/>
  <c r="C234" i="14"/>
  <c r="B234" i="14"/>
  <c r="E242" i="14"/>
  <c r="E241" i="14"/>
  <c r="K246" i="14"/>
  <c r="L246" i="14"/>
  <c r="E235" i="14"/>
  <c r="K190" i="14"/>
  <c r="L190" i="14"/>
  <c r="J190" i="14"/>
  <c r="E187" i="14"/>
  <c r="K106" i="14"/>
  <c r="L106" i="14"/>
  <c r="K105" i="14"/>
  <c r="L105" i="14"/>
  <c r="C107" i="14"/>
  <c r="D107" i="14"/>
  <c r="B107" i="14"/>
  <c r="E104" i="14"/>
  <c r="E103" i="14"/>
  <c r="E102" i="14" l="1"/>
  <c r="E101" i="14"/>
  <c r="K102" i="14"/>
  <c r="L102" i="14"/>
  <c r="E257" i="14"/>
  <c r="E201" i="14"/>
  <c r="E36" i="14"/>
  <c r="E172" i="14"/>
  <c r="K139" i="14"/>
  <c r="L139" i="14"/>
  <c r="J139" i="14"/>
  <c r="K138" i="14"/>
  <c r="L138" i="14"/>
  <c r="J138" i="14"/>
  <c r="K119" i="14"/>
  <c r="L119" i="14"/>
  <c r="J119" i="14"/>
  <c r="K118" i="14"/>
  <c r="L118" i="14"/>
  <c r="E159" i="14"/>
  <c r="K58" i="14"/>
  <c r="L58" i="14"/>
  <c r="J58" i="14"/>
  <c r="K59" i="14" l="1"/>
  <c r="K64" i="14" s="1"/>
  <c r="L59" i="14"/>
  <c r="L64" i="14" s="1"/>
  <c r="J59" i="14"/>
  <c r="J64" i="14" s="1"/>
  <c r="D168" i="14"/>
  <c r="C168" i="14"/>
  <c r="D167" i="14"/>
  <c r="C167" i="14"/>
  <c r="D165" i="14"/>
  <c r="C165" i="14"/>
  <c r="B165" i="14"/>
  <c r="D164" i="14"/>
  <c r="C164" i="14"/>
  <c r="B164" i="14"/>
  <c r="D163" i="14"/>
  <c r="C163" i="14"/>
  <c r="B163" i="14"/>
  <c r="D160" i="14"/>
  <c r="C160" i="14"/>
  <c r="D157" i="14"/>
  <c r="C157" i="14"/>
  <c r="B157" i="14"/>
  <c r="E162" i="14"/>
  <c r="D151" i="14"/>
  <c r="C151" i="14"/>
  <c r="E141" i="8"/>
  <c r="J172" i="14" l="1"/>
  <c r="L172" i="14"/>
  <c r="K172" i="14"/>
  <c r="L399" i="8"/>
  <c r="L400" i="8" s="1"/>
  <c r="K399" i="8"/>
  <c r="K400" i="8" s="1"/>
  <c r="J399" i="8"/>
  <c r="J400" i="8" s="1"/>
  <c r="E397" i="8"/>
  <c r="D396" i="8"/>
  <c r="D400" i="8" s="1"/>
  <c r="C396" i="8"/>
  <c r="C400" i="8" s="1"/>
  <c r="B396" i="8"/>
  <c r="B400" i="8" s="1"/>
  <c r="L378" i="8"/>
  <c r="L379" i="8" s="1"/>
  <c r="K378" i="8"/>
  <c r="K379" i="8" s="1"/>
  <c r="J378" i="8"/>
  <c r="J379" i="8" s="1"/>
  <c r="E376" i="8"/>
  <c r="D375" i="8"/>
  <c r="D379" i="8" s="1"/>
  <c r="D428" i="8" s="1"/>
  <c r="D30" i="7" s="1"/>
  <c r="D29" i="7" s="1"/>
  <c r="C375" i="8"/>
  <c r="C379" i="8" s="1"/>
  <c r="C428" i="8" s="1"/>
  <c r="C30" i="7" s="1"/>
  <c r="C29" i="7" s="1"/>
  <c r="B375" i="8"/>
  <c r="B379" i="8" s="1"/>
  <c r="B428" i="8" s="1"/>
  <c r="B30" i="7" s="1"/>
  <c r="B29" i="7" s="1"/>
  <c r="D385" i="8"/>
  <c r="C385" i="8"/>
  <c r="B385" i="8"/>
  <c r="E386" i="8"/>
  <c r="D347" i="8"/>
  <c r="C347" i="8"/>
  <c r="E346" i="8"/>
  <c r="E345" i="8"/>
  <c r="E344" i="8"/>
  <c r="E343" i="8"/>
  <c r="E342" i="8"/>
  <c r="E341" i="8"/>
  <c r="E340" i="8"/>
  <c r="E339" i="8"/>
  <c r="D338" i="8"/>
  <c r="L357" i="8" s="1"/>
  <c r="L436" i="8" s="1"/>
  <c r="C338" i="8"/>
  <c r="K357" i="8" s="1"/>
  <c r="K436" i="8" s="1"/>
  <c r="B338" i="8"/>
  <c r="J357" i="8" s="1"/>
  <c r="E334" i="8"/>
  <c r="E160" i="14"/>
  <c r="E161" i="14"/>
  <c r="E163" i="14"/>
  <c r="E164" i="14"/>
  <c r="E158" i="14"/>
  <c r="C430" i="8" l="1"/>
  <c r="C37" i="7"/>
  <c r="C36" i="7" s="1"/>
  <c r="D430" i="8"/>
  <c r="E430" i="8" s="1"/>
  <c r="D37" i="7"/>
  <c r="D36" i="7" s="1"/>
  <c r="B430" i="8"/>
  <c r="B37" i="7"/>
  <c r="B36" i="7" s="1"/>
  <c r="J436" i="8"/>
  <c r="L291" i="14"/>
  <c r="E428" i="8"/>
  <c r="E400" i="8"/>
  <c r="E396" i="8"/>
  <c r="E379" i="8"/>
  <c r="E375" i="8"/>
  <c r="K25" i="13"/>
  <c r="J25" i="13"/>
  <c r="I25" i="13"/>
  <c r="K24" i="13"/>
  <c r="J24" i="13"/>
  <c r="I24" i="13"/>
  <c r="B30" i="13"/>
  <c r="B29" i="13"/>
  <c r="C21" i="13"/>
  <c r="D21" i="13"/>
  <c r="B21" i="13"/>
  <c r="D7" i="13"/>
  <c r="B7" i="13"/>
  <c r="E18" i="13"/>
  <c r="E17" i="13"/>
  <c r="E16" i="13"/>
  <c r="E15" i="13"/>
  <c r="E14" i="13"/>
  <c r="E13" i="13"/>
  <c r="E12" i="13"/>
  <c r="E11" i="13"/>
  <c r="E10" i="13"/>
  <c r="C9" i="13"/>
  <c r="E9" i="13" s="1"/>
  <c r="E8" i="13"/>
  <c r="E152" i="14"/>
  <c r="E117" i="14"/>
  <c r="D121" i="14"/>
  <c r="C113" i="14"/>
  <c r="C121" i="14" s="1"/>
  <c r="B121" i="14"/>
  <c r="E114" i="14"/>
  <c r="E94" i="14"/>
  <c r="E93" i="14"/>
  <c r="E92" i="14"/>
  <c r="E91" i="14"/>
  <c r="E85" i="14"/>
  <c r="E86" i="14"/>
  <c r="E87" i="14"/>
  <c r="E88" i="14"/>
  <c r="E83" i="14"/>
  <c r="E84" i="14"/>
  <c r="E89" i="14"/>
  <c r="E81" i="14"/>
  <c r="E90" i="14"/>
  <c r="E79" i="14"/>
  <c r="E71" i="14"/>
  <c r="E30" i="14"/>
  <c r="E29" i="14"/>
  <c r="E28" i="14"/>
  <c r="E27" i="14"/>
  <c r="E26" i="14"/>
  <c r="E24" i="14"/>
  <c r="H18" i="14"/>
  <c r="E18" i="14"/>
  <c r="E17" i="14"/>
  <c r="E12" i="14"/>
  <c r="E11" i="14"/>
  <c r="E10" i="14"/>
  <c r="E9" i="14"/>
  <c r="C7" i="13" l="1"/>
  <c r="E7" i="13"/>
  <c r="D280" i="8"/>
  <c r="C280" i="8"/>
  <c r="B280" i="8"/>
  <c r="E303" i="8"/>
  <c r="E302" i="8"/>
  <c r="D237" i="8"/>
  <c r="B237" i="8"/>
  <c r="E246" i="8"/>
  <c r="E247" i="8"/>
  <c r="E248" i="8"/>
  <c r="E245" i="8"/>
  <c r="E244" i="8"/>
  <c r="E243" i="8"/>
  <c r="E182" i="8"/>
  <c r="E183" i="8"/>
  <c r="E174" i="8"/>
  <c r="E175" i="8"/>
  <c r="E176" i="8"/>
  <c r="E177" i="8"/>
  <c r="E178" i="8"/>
  <c r="E179" i="8"/>
  <c r="E180" i="8"/>
  <c r="E169" i="8"/>
  <c r="E170" i="8"/>
  <c r="E171" i="8"/>
  <c r="E172" i="8"/>
  <c r="E161" i="8"/>
  <c r="E162" i="8"/>
  <c r="E163" i="8"/>
  <c r="E164" i="8"/>
  <c r="E165" i="8"/>
  <c r="E153" i="8"/>
  <c r="E152" i="8"/>
  <c r="E147" i="8"/>
  <c r="C7" i="8"/>
  <c r="D7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28" i="8"/>
  <c r="E27" i="8"/>
  <c r="E25" i="8"/>
  <c r="E23" i="8"/>
  <c r="E24" i="8"/>
  <c r="E26" i="8"/>
  <c r="E29" i="8"/>
  <c r="E13" i="8"/>
  <c r="C390" i="8" l="1"/>
  <c r="C429" i="8" s="1"/>
  <c r="C32" i="7" s="1"/>
  <c r="B390" i="8"/>
  <c r="E387" i="8"/>
  <c r="D390" i="8"/>
  <c r="D429" i="8" s="1"/>
  <c r="B210" i="14"/>
  <c r="B429" i="8" l="1"/>
  <c r="B32" i="7" s="1"/>
  <c r="D32" i="7"/>
  <c r="E429" i="8"/>
  <c r="E385" i="8"/>
  <c r="J390" i="8"/>
  <c r="E390" i="8"/>
  <c r="K390" i="8"/>
  <c r="L390" i="8"/>
  <c r="E8" i="14"/>
  <c r="E42" i="14" l="1"/>
  <c r="C351" i="8" l="1"/>
  <c r="C16" i="15" s="1"/>
  <c r="D351" i="8"/>
  <c r="D16" i="15" s="1"/>
  <c r="B351" i="8"/>
  <c r="B16" i="15" s="1"/>
  <c r="C309" i="8"/>
  <c r="D309" i="8"/>
  <c r="B309" i="8"/>
  <c r="C253" i="8"/>
  <c r="D253" i="8"/>
  <c r="B253" i="8"/>
  <c r="E59" i="8"/>
  <c r="E8" i="8" l="1"/>
  <c r="K142" i="14" l="1"/>
  <c r="L142" i="14"/>
  <c r="J142" i="14"/>
  <c r="D182" i="14"/>
  <c r="C182" i="14"/>
  <c r="B182" i="14"/>
  <c r="K191" i="14"/>
  <c r="L191" i="14"/>
  <c r="J191" i="14"/>
  <c r="K194" i="14" l="1"/>
  <c r="J194" i="14"/>
  <c r="C60" i="7"/>
  <c r="B60" i="7"/>
  <c r="D60" i="7"/>
  <c r="L194" i="14"/>
  <c r="E277" i="14"/>
  <c r="L279" i="14"/>
  <c r="K279" i="14"/>
  <c r="J279" i="14"/>
  <c r="D276" i="14"/>
  <c r="D280" i="14" s="1"/>
  <c r="D296" i="14" s="1"/>
  <c r="D42" i="7" s="1"/>
  <c r="C276" i="14"/>
  <c r="C280" i="14" s="1"/>
  <c r="C296" i="14" s="1"/>
  <c r="C42" i="7" s="1"/>
  <c r="B276" i="14"/>
  <c r="B280" i="14" s="1"/>
  <c r="B296" i="14" s="1"/>
  <c r="B42" i="7" s="1"/>
  <c r="L280" i="14" l="1"/>
  <c r="L288" i="14"/>
  <c r="J280" i="14"/>
  <c r="J288" i="14"/>
  <c r="K280" i="14"/>
  <c r="K288" i="14"/>
  <c r="E276" i="14"/>
  <c r="E296" i="14"/>
  <c r="E280" i="14"/>
  <c r="E191" i="14"/>
  <c r="E189" i="14"/>
  <c r="E190" i="14" l="1"/>
  <c r="E188" i="14"/>
  <c r="C194" i="14"/>
  <c r="D194" i="14"/>
  <c r="B194" i="14"/>
  <c r="K269" i="14"/>
  <c r="K289" i="14" s="1"/>
  <c r="L269" i="14"/>
  <c r="J269" i="14"/>
  <c r="E267" i="14"/>
  <c r="D266" i="14"/>
  <c r="D270" i="14" s="1"/>
  <c r="D295" i="14" s="1"/>
  <c r="D39" i="7" s="1"/>
  <c r="D38" i="7" s="1"/>
  <c r="C266" i="14"/>
  <c r="C270" i="14" s="1"/>
  <c r="C295" i="14" s="1"/>
  <c r="C39" i="7" s="1"/>
  <c r="C38" i="7" s="1"/>
  <c r="B266" i="14"/>
  <c r="B270" i="14" s="1"/>
  <c r="B295" i="14" s="1"/>
  <c r="B39" i="7" s="1"/>
  <c r="B38" i="7" s="1"/>
  <c r="E240" i="14"/>
  <c r="E238" i="14"/>
  <c r="E237" i="14"/>
  <c r="E239" i="14"/>
  <c r="E243" i="14"/>
  <c r="E244" i="14"/>
  <c r="E236" i="14"/>
  <c r="D247" i="14"/>
  <c r="D293" i="14" s="1"/>
  <c r="D33" i="7" s="1"/>
  <c r="D31" i="7" s="1"/>
  <c r="C247" i="14"/>
  <c r="C293" i="14" s="1"/>
  <c r="C33" i="7" s="1"/>
  <c r="C31" i="7" s="1"/>
  <c r="B247" i="14"/>
  <c r="B293" i="14" s="1"/>
  <c r="B33" i="7" s="1"/>
  <c r="B31" i="7" s="1"/>
  <c r="C210" i="14"/>
  <c r="D210" i="14"/>
  <c r="E100" i="14"/>
  <c r="E99" i="14"/>
  <c r="E98" i="14"/>
  <c r="E97" i="14"/>
  <c r="E186" i="14"/>
  <c r="E185" i="14"/>
  <c r="E184" i="14"/>
  <c r="E183" i="14"/>
  <c r="K270" i="14" l="1"/>
  <c r="K293" i="14"/>
  <c r="J270" i="14"/>
  <c r="J289" i="14"/>
  <c r="L270" i="14"/>
  <c r="L289" i="14"/>
  <c r="D289" i="14"/>
  <c r="D21" i="7" s="1"/>
  <c r="D20" i="7" s="1"/>
  <c r="C289" i="14"/>
  <c r="C21" i="7" s="1"/>
  <c r="C20" i="7" s="1"/>
  <c r="B289" i="14"/>
  <c r="B21" i="7" s="1"/>
  <c r="B20" i="7" s="1"/>
  <c r="L247" i="14"/>
  <c r="K247" i="14"/>
  <c r="E295" i="14"/>
  <c r="J247" i="14"/>
  <c r="E270" i="14"/>
  <c r="E266" i="14"/>
  <c r="E293" i="14"/>
  <c r="E247" i="14"/>
  <c r="E234" i="14"/>
  <c r="E194" i="14"/>
  <c r="E289" i="14" l="1"/>
  <c r="E61" i="14"/>
  <c r="E59" i="14"/>
  <c r="E58" i="14"/>
  <c r="B59" i="7" l="1"/>
  <c r="C59" i="7"/>
  <c r="K259" i="14"/>
  <c r="K300" i="14" s="1"/>
  <c r="L259" i="14"/>
  <c r="L300" i="14" s="1"/>
  <c r="J259" i="14"/>
  <c r="J300" i="14" s="1"/>
  <c r="J260" i="14"/>
  <c r="K203" i="14"/>
  <c r="L203" i="14"/>
  <c r="J203" i="14"/>
  <c r="K174" i="14"/>
  <c r="K176" i="14" s="1"/>
  <c r="L174" i="14"/>
  <c r="L176" i="14" s="1"/>
  <c r="J174" i="14"/>
  <c r="J176" i="14" s="1"/>
  <c r="K101" i="14"/>
  <c r="K107" i="14" s="1"/>
  <c r="L101" i="14"/>
  <c r="L107" i="14" s="1"/>
  <c r="D222" i="14"/>
  <c r="D228" i="14" s="1"/>
  <c r="D292" i="14" s="1"/>
  <c r="D28" i="7" s="1"/>
  <c r="D27" i="7" s="1"/>
  <c r="C222" i="14"/>
  <c r="C228" i="14" s="1"/>
  <c r="C292" i="14" s="1"/>
  <c r="C28" i="7" s="1"/>
  <c r="C27" i="7" s="1"/>
  <c r="B222" i="14"/>
  <c r="B228" i="14" s="1"/>
  <c r="B292" i="14" s="1"/>
  <c r="B28" i="7" s="1"/>
  <c r="B27" i="7" s="1"/>
  <c r="E255" i="14"/>
  <c r="E95" i="14"/>
  <c r="E213" i="14"/>
  <c r="E212" i="14"/>
  <c r="E225" i="14"/>
  <c r="E224" i="14"/>
  <c r="E223" i="14"/>
  <c r="E173" i="14"/>
  <c r="E168" i="14"/>
  <c r="E119" i="14"/>
  <c r="E33" i="14"/>
  <c r="E31" i="14"/>
  <c r="E32" i="14"/>
  <c r="E34" i="14"/>
  <c r="E35" i="14"/>
  <c r="E37" i="14"/>
  <c r="E166" i="14"/>
  <c r="E156" i="14"/>
  <c r="E153" i="14"/>
  <c r="E292" i="14" l="1"/>
  <c r="L228" i="14"/>
  <c r="K228" i="14"/>
  <c r="J228" i="14"/>
  <c r="E228" i="14"/>
  <c r="E222" i="14"/>
  <c r="E165" i="14"/>
  <c r="E167" i="14"/>
  <c r="E78" i="14" l="1"/>
  <c r="E76" i="14"/>
  <c r="E73" i="14"/>
  <c r="E74" i="14"/>
  <c r="E25" i="14"/>
  <c r="H23" i="14"/>
  <c r="E22" i="14"/>
  <c r="H16" i="14"/>
  <c r="E15" i="14"/>
  <c r="E19" i="14"/>
  <c r="E20" i="14"/>
  <c r="E21" i="14"/>
  <c r="E13" i="14"/>
  <c r="L141" i="14"/>
  <c r="D138" i="14" l="1"/>
  <c r="K141" i="14"/>
  <c r="C138" i="14"/>
  <c r="J141" i="14"/>
  <c r="B138" i="14"/>
  <c r="H25" i="14"/>
  <c r="E23" i="14"/>
  <c r="E14" i="14"/>
  <c r="E132" i="14"/>
  <c r="E129" i="14"/>
  <c r="K291" i="14" l="1"/>
  <c r="D59" i="7"/>
  <c r="E414" i="8"/>
  <c r="D413" i="8"/>
  <c r="C413" i="8"/>
  <c r="B413" i="8"/>
  <c r="L417" i="8" l="1"/>
  <c r="L441" i="8" s="1"/>
  <c r="K417" i="8"/>
  <c r="K441" i="8" s="1"/>
  <c r="J417" i="8"/>
  <c r="N300" i="14"/>
  <c r="E413" i="8"/>
  <c r="E337" i="8" l="1"/>
  <c r="E338" i="8"/>
  <c r="E347" i="8"/>
  <c r="E331" i="8"/>
  <c r="E300" i="8"/>
  <c r="E287" i="8"/>
  <c r="E288" i="8"/>
  <c r="E289" i="8"/>
  <c r="E290" i="8"/>
  <c r="E291" i="8"/>
  <c r="E292" i="8"/>
  <c r="E293" i="8"/>
  <c r="E294" i="8"/>
  <c r="E271" i="8"/>
  <c r="D270" i="8"/>
  <c r="C270" i="8"/>
  <c r="B270" i="8"/>
  <c r="E260" i="8"/>
  <c r="E261" i="8"/>
  <c r="E262" i="8"/>
  <c r="E263" i="8"/>
  <c r="E264" i="8"/>
  <c r="E257" i="8"/>
  <c r="E242" i="8"/>
  <c r="E241" i="8"/>
  <c r="E239" i="8"/>
  <c r="B328" i="8" l="1"/>
  <c r="C328" i="8"/>
  <c r="D328" i="8"/>
  <c r="E270" i="8"/>
  <c r="E222" i="8"/>
  <c r="E221" i="8" l="1"/>
  <c r="E220" i="8"/>
  <c r="E219" i="8"/>
  <c r="E217" i="8"/>
  <c r="E215" i="8"/>
  <c r="E213" i="8"/>
  <c r="E210" i="8"/>
  <c r="E159" i="8"/>
  <c r="E160" i="8"/>
  <c r="E166" i="8"/>
  <c r="E167" i="8"/>
  <c r="E168" i="8"/>
  <c r="E173" i="8"/>
  <c r="E158" i="8"/>
  <c r="E157" i="8"/>
  <c r="E156" i="8"/>
  <c r="E155" i="8"/>
  <c r="E154" i="8"/>
  <c r="E149" i="8"/>
  <c r="E144" i="8"/>
  <c r="E111" i="8"/>
  <c r="E109" i="8"/>
  <c r="E104" i="8"/>
  <c r="E103" i="8"/>
  <c r="E101" i="8"/>
  <c r="E97" i="8"/>
  <c r="E93" i="8"/>
  <c r="E91" i="8"/>
  <c r="E90" i="8"/>
  <c r="E87" i="8"/>
  <c r="E81" i="8"/>
  <c r="E83" i="8"/>
  <c r="E69" i="8"/>
  <c r="E62" i="8"/>
  <c r="E60" i="8"/>
  <c r="E61" i="8"/>
  <c r="E38" i="8"/>
  <c r="E37" i="8"/>
  <c r="E39" i="8"/>
  <c r="E40" i="8"/>
  <c r="E19" i="8"/>
  <c r="E18" i="8"/>
  <c r="E17" i="8"/>
  <c r="E15" i="8"/>
  <c r="B176" i="14" l="1"/>
  <c r="E157" i="14"/>
  <c r="E151" i="14"/>
  <c r="D216" i="14" l="1"/>
  <c r="C216" i="14"/>
  <c r="B216" i="14"/>
  <c r="D200" i="14"/>
  <c r="B200" i="14"/>
  <c r="J140" i="14"/>
  <c r="C64" i="14"/>
  <c r="B64" i="14"/>
  <c r="B143" i="14" l="1"/>
  <c r="D176" i="14"/>
  <c r="C176" i="14"/>
  <c r="D64" i="14"/>
  <c r="D143" i="14" l="1"/>
  <c r="C200" i="14"/>
  <c r="E200" i="14" s="1"/>
  <c r="H21" i="14"/>
  <c r="B61" i="7" l="1"/>
  <c r="D61" i="7"/>
  <c r="L290" i="14"/>
  <c r="E410" i="8"/>
  <c r="B359" i="8" l="1"/>
  <c r="B426" i="8" s="1"/>
  <c r="E353" i="8"/>
  <c r="E96" i="14" l="1"/>
  <c r="E256" i="14"/>
  <c r="E115" i="14" l="1"/>
  <c r="C143" i="14" l="1"/>
  <c r="C61" i="7"/>
  <c r="N61" i="7" s="1"/>
  <c r="E192" i="8"/>
  <c r="E354" i="8"/>
  <c r="E193" i="8"/>
  <c r="E106" i="8"/>
  <c r="E96" i="8"/>
  <c r="E84" i="8"/>
  <c r="E77" i="8"/>
  <c r="E72" i="8"/>
  <c r="E63" i="8"/>
  <c r="C359" i="8" l="1"/>
  <c r="K290" i="14"/>
  <c r="D359" i="8"/>
  <c r="E68" i="8"/>
  <c r="C237" i="8"/>
  <c r="E336" i="8"/>
  <c r="E335" i="8"/>
  <c r="E329" i="8"/>
  <c r="E285" i="8" l="1"/>
  <c r="E286" i="8"/>
  <c r="E181" i="8"/>
  <c r="E148" i="8"/>
  <c r="E142" i="8"/>
  <c r="E41" i="8"/>
  <c r="E32" i="8"/>
  <c r="E21" i="8"/>
  <c r="E10" i="8" l="1"/>
  <c r="E9" i="8"/>
  <c r="C34" i="15" l="1"/>
  <c r="D34" i="15"/>
  <c r="B34" i="15"/>
  <c r="K303" i="14" l="1"/>
  <c r="J298" i="14"/>
  <c r="L140" i="14"/>
  <c r="L298" i="14" s="1"/>
  <c r="K140" i="14"/>
  <c r="D409" i="8"/>
  <c r="C409" i="8"/>
  <c r="B409" i="8"/>
  <c r="J415" i="8" s="1"/>
  <c r="D418" i="8"/>
  <c r="D274" i="8"/>
  <c r="C274" i="8"/>
  <c r="B274" i="8"/>
  <c r="B418" i="8" l="1"/>
  <c r="B431" i="8" s="1"/>
  <c r="C418" i="8"/>
  <c r="K298" i="14"/>
  <c r="K274" i="8"/>
  <c r="L274" i="8"/>
  <c r="L143" i="14"/>
  <c r="K143" i="14"/>
  <c r="J143" i="14"/>
  <c r="B35" i="15" l="1"/>
  <c r="J274" i="8"/>
  <c r="L121" i="14"/>
  <c r="K121" i="14" l="1"/>
  <c r="J121" i="14"/>
  <c r="D227" i="8" l="1"/>
  <c r="B227" i="8"/>
  <c r="J228" i="8" s="1"/>
  <c r="C227" i="8"/>
  <c r="C231" i="8" l="1"/>
  <c r="C423" i="8" s="1"/>
  <c r="K228" i="8"/>
  <c r="D231" i="8"/>
  <c r="L228" i="8"/>
  <c r="B231" i="8"/>
  <c r="E228" i="8"/>
  <c r="E227" i="8"/>
  <c r="E254" i="14"/>
  <c r="D260" i="14"/>
  <c r="C260" i="14"/>
  <c r="B260" i="14"/>
  <c r="B294" i="14" s="1"/>
  <c r="K260" i="14" l="1"/>
  <c r="L260" i="14"/>
  <c r="D294" i="14"/>
  <c r="D35" i="7"/>
  <c r="D34" i="7" s="1"/>
  <c r="B35" i="7"/>
  <c r="B34" i="7" s="1"/>
  <c r="C294" i="14"/>
  <c r="C35" i="7"/>
  <c r="C34" i="7" s="1"/>
  <c r="E260" i="14"/>
  <c r="E253" i="14"/>
  <c r="E294" i="14" l="1"/>
  <c r="E94" i="8" l="1"/>
  <c r="E88" i="8"/>
  <c r="E301" i="8" l="1"/>
  <c r="E304" i="8"/>
  <c r="E240" i="8"/>
  <c r="E249" i="8"/>
  <c r="E282" i="8" l="1"/>
  <c r="E150" i="8"/>
  <c r="E33" i="8" l="1"/>
  <c r="E34" i="8"/>
  <c r="E35" i="8"/>
  <c r="E36" i="8"/>
  <c r="J204" i="14" l="1"/>
  <c r="L303" i="14" l="1"/>
  <c r="E211" i="14" l="1"/>
  <c r="E155" i="14"/>
  <c r="L204" i="14" l="1"/>
  <c r="K204" i="14"/>
  <c r="E134" i="14"/>
  <c r="E205" i="8" l="1"/>
  <c r="E119" i="8"/>
  <c r="E95" i="8"/>
  <c r="E255" i="8"/>
  <c r="E258" i="8"/>
  <c r="E266" i="8"/>
  <c r="E204" i="8"/>
  <c r="E203" i="8"/>
  <c r="E65" i="8"/>
  <c r="E64" i="8"/>
  <c r="E330" i="8" l="1"/>
  <c r="E151" i="8"/>
  <c r="K437" i="8"/>
  <c r="L437" i="8"/>
  <c r="E31" i="8"/>
  <c r="D35" i="15" l="1"/>
  <c r="E30" i="8"/>
  <c r="E20" i="8"/>
  <c r="E408" i="8" l="1"/>
  <c r="J26" i="13" l="1"/>
  <c r="K26" i="13"/>
  <c r="I26" i="13"/>
  <c r="L320" i="8" l="1"/>
  <c r="K320" i="8"/>
  <c r="J320" i="8"/>
  <c r="K68" i="7" l="1"/>
  <c r="I68" i="7"/>
  <c r="J303" i="14"/>
  <c r="K67" i="7"/>
  <c r="I66" i="7"/>
  <c r="I67" i="7"/>
  <c r="C7" i="15"/>
  <c r="D7" i="15"/>
  <c r="B7" i="15"/>
  <c r="J231" i="8" l="1"/>
  <c r="G56" i="7"/>
  <c r="J321" i="8"/>
  <c r="C291" i="14" l="1"/>
  <c r="C26" i="7" s="1"/>
  <c r="C25" i="7" s="1"/>
  <c r="B291" i="14"/>
  <c r="B26" i="7" s="1"/>
  <c r="B25" i="7" s="1"/>
  <c r="D291" i="14"/>
  <c r="E216" i="14"/>
  <c r="E210" i="14"/>
  <c r="E291" i="14" l="1"/>
  <c r="D26" i="7"/>
  <c r="D25" i="7" s="1"/>
  <c r="J68" i="7"/>
  <c r="E77" i="14"/>
  <c r="E133" i="14" l="1"/>
  <c r="J67" i="7" l="1"/>
  <c r="B25" i="15"/>
  <c r="B13" i="15" l="1"/>
  <c r="L321" i="8"/>
  <c r="K321" i="8"/>
  <c r="G50" i="7" l="1"/>
  <c r="G52" i="7" s="1"/>
  <c r="I65" i="7"/>
  <c r="G58" i="7"/>
  <c r="J66" i="7"/>
  <c r="J65" i="7"/>
  <c r="K65" i="7"/>
  <c r="L415" i="8"/>
  <c r="L439" i="8" s="1"/>
  <c r="J439" i="8"/>
  <c r="G63" i="7" l="1"/>
  <c r="K66" i="7"/>
  <c r="E409" i="8"/>
  <c r="K415" i="8"/>
  <c r="K439" i="8" s="1"/>
  <c r="E355" i="8"/>
  <c r="B317" i="8"/>
  <c r="B321" i="8" s="1"/>
  <c r="C317" i="8"/>
  <c r="C321" i="8" s="1"/>
  <c r="D317" i="8"/>
  <c r="D321" i="8" s="1"/>
  <c r="E318" i="8"/>
  <c r="E317" i="8" l="1"/>
  <c r="E102" i="8"/>
  <c r="E333" i="8"/>
  <c r="E238" i="8" l="1"/>
  <c r="E16" i="8"/>
  <c r="D25" i="15" l="1"/>
  <c r="C204" i="14" l="1"/>
  <c r="B204" i="14"/>
  <c r="E131" i="14"/>
  <c r="E128" i="14"/>
  <c r="E72" i="14"/>
  <c r="C25" i="15"/>
  <c r="E12" i="8"/>
  <c r="E11" i="8"/>
  <c r="C10" i="15"/>
  <c r="D10" i="15"/>
  <c r="D13" i="15" l="1"/>
  <c r="B10" i="15"/>
  <c r="C13" i="15"/>
  <c r="D4" i="15"/>
  <c r="C4" i="15"/>
  <c r="B4" i="15"/>
  <c r="D204" i="14"/>
  <c r="E70" i="14"/>
  <c r="E127" i="14"/>
  <c r="E150" i="14"/>
  <c r="E328" i="8"/>
  <c r="D130" i="8"/>
  <c r="L131" i="8" s="1"/>
  <c r="C130" i="8"/>
  <c r="K131" i="8" s="1"/>
  <c r="B130" i="8"/>
  <c r="J131" i="8" s="1"/>
  <c r="D18" i="15" l="1"/>
  <c r="J435" i="8"/>
  <c r="B65" i="7" s="1"/>
  <c r="J134" i="8"/>
  <c r="K435" i="8"/>
  <c r="K134" i="8"/>
  <c r="L435" i="8"/>
  <c r="L134" i="8"/>
  <c r="B24" i="15"/>
  <c r="B26" i="15" s="1"/>
  <c r="C24" i="15"/>
  <c r="C26" i="15" s="1"/>
  <c r="C18" i="15"/>
  <c r="D24" i="15"/>
  <c r="D26" i="15" s="1"/>
  <c r="B18" i="15"/>
  <c r="C134" i="8"/>
  <c r="C422" i="8" s="1"/>
  <c r="D134" i="8"/>
  <c r="B134" i="8"/>
  <c r="B422" i="8" s="1"/>
  <c r="E321" i="8"/>
  <c r="E134" i="8" l="1"/>
  <c r="C25" i="13" l="1"/>
  <c r="D25" i="13"/>
  <c r="B25" i="13"/>
  <c r="E21" i="13" l="1"/>
  <c r="K359" i="8"/>
  <c r="L359" i="8"/>
  <c r="J359" i="8" l="1"/>
  <c r="I69" i="7" l="1"/>
  <c r="K231" i="8"/>
  <c r="L231" i="8" l="1"/>
  <c r="K63" i="7"/>
  <c r="D41" i="7"/>
  <c r="J63" i="7"/>
  <c r="C41" i="7"/>
  <c r="I63" i="7"/>
  <c r="B41" i="7"/>
  <c r="I70" i="7"/>
  <c r="J70" i="7"/>
  <c r="I62" i="7"/>
  <c r="J62" i="7"/>
  <c r="K62" i="7"/>
  <c r="B424" i="8"/>
  <c r="L414" i="8"/>
  <c r="L418" i="8" s="1"/>
  <c r="J414" i="8"/>
  <c r="J418" i="8" s="1"/>
  <c r="K414" i="8"/>
  <c r="K418" i="8" s="1"/>
  <c r="B425" i="8"/>
  <c r="K61" i="7"/>
  <c r="J61" i="7"/>
  <c r="E406" i="8"/>
  <c r="D422" i="8"/>
  <c r="E223" i="8"/>
  <c r="E120" i="8"/>
  <c r="E107" i="8"/>
  <c r="D40" i="7" l="1"/>
  <c r="C40" i="7"/>
  <c r="B40" i="7"/>
  <c r="C35" i="15"/>
  <c r="J438" i="8"/>
  <c r="K438" i="8"/>
  <c r="K442" i="8" s="1"/>
  <c r="L438" i="8"/>
  <c r="L442" i="8" s="1"/>
  <c r="J69" i="7"/>
  <c r="K69" i="7"/>
  <c r="I61" i="7"/>
  <c r="E422" i="8"/>
  <c r="J442" i="8" l="1"/>
  <c r="B58" i="7" s="1"/>
  <c r="D58" i="7"/>
  <c r="E194" i="8" l="1"/>
  <c r="E198" i="8"/>
  <c r="E200" i="8"/>
  <c r="C290" i="14" l="1"/>
  <c r="C24" i="7" s="1"/>
  <c r="C22" i="7" s="1"/>
  <c r="B290" i="14"/>
  <c r="B24" i="7" s="1"/>
  <c r="B22" i="7" s="1"/>
  <c r="E107" i="14" l="1"/>
  <c r="B287" i="14"/>
  <c r="B15" i="7" s="1"/>
  <c r="B286" i="14"/>
  <c r="B12" i="7" s="1"/>
  <c r="E140" i="14"/>
  <c r="C288" i="14"/>
  <c r="C18" i="7" s="1"/>
  <c r="D288" i="14"/>
  <c r="C285" i="14"/>
  <c r="C9" i="7" s="1"/>
  <c r="D18" i="7" l="1"/>
  <c r="E288" i="14"/>
  <c r="E113" i="14"/>
  <c r="C287" i="14"/>
  <c r="C15" i="7" s="1"/>
  <c r="C286" i="14"/>
  <c r="C12" i="7" s="1"/>
  <c r="B285" i="14"/>
  <c r="E41" i="14"/>
  <c r="E176" i="14"/>
  <c r="D285" i="14"/>
  <c r="E285" i="14" s="1"/>
  <c r="E138" i="14"/>
  <c r="B9" i="7" l="1"/>
  <c r="D9" i="7"/>
  <c r="D290" i="14"/>
  <c r="E290" i="14" s="1"/>
  <c r="E204" i="14"/>
  <c r="D286" i="14"/>
  <c r="E286" i="14" s="1"/>
  <c r="E121" i="14"/>
  <c r="D287" i="14"/>
  <c r="E143" i="14"/>
  <c r="E287" i="14" l="1"/>
  <c r="D12" i="7"/>
  <c r="D15" i="7"/>
  <c r="D24" i="7"/>
  <c r="D22" i="7" s="1"/>
  <c r="E356" i="8" l="1"/>
  <c r="E218" i="8"/>
  <c r="K70" i="7"/>
  <c r="E146" i="8" l="1"/>
  <c r="B26" i="13" l="1"/>
  <c r="B19" i="7" s="1"/>
  <c r="C26" i="13" l="1"/>
  <c r="C19" i="7" s="1"/>
  <c r="C51" i="7" s="1"/>
  <c r="D26" i="13" l="1"/>
  <c r="D19" i="7" s="1"/>
  <c r="D51" i="7" s="1"/>
  <c r="E25" i="13"/>
  <c r="E26" i="13" l="1"/>
  <c r="E131" i="8" l="1"/>
  <c r="E313" i="8" l="1"/>
  <c r="E208" i="8" l="1"/>
  <c r="B423" i="8" l="1"/>
  <c r="B432" i="8" s="1"/>
  <c r="I64" i="7" l="1"/>
  <c r="J64" i="7"/>
  <c r="K64" i="7"/>
  <c r="B17" i="7" l="1"/>
  <c r="E253" i="8" l="1"/>
  <c r="E351" i="8"/>
  <c r="E140" i="8"/>
  <c r="E237" i="8"/>
  <c r="C424" i="8"/>
  <c r="E280" i="8"/>
  <c r="E188" i="8"/>
  <c r="E274" i="8" l="1"/>
  <c r="D424" i="8"/>
  <c r="E424" i="8" s="1"/>
  <c r="E118" i="8" l="1"/>
  <c r="E110" i="8" l="1"/>
  <c r="E70" i="8"/>
  <c r="C426" i="8" l="1"/>
  <c r="C17" i="7" s="1"/>
  <c r="D423" i="8"/>
  <c r="C16" i="7" l="1"/>
  <c r="D425" i="8"/>
  <c r="D426" i="8" l="1"/>
  <c r="E426" i="8" s="1"/>
  <c r="E359" i="8"/>
  <c r="C425" i="8"/>
  <c r="E231" i="8"/>
  <c r="E425" i="8" l="1"/>
  <c r="E423" i="8"/>
  <c r="D17" i="7"/>
  <c r="D16" i="7" l="1"/>
  <c r="K71" i="7" l="1"/>
  <c r="J71" i="7"/>
  <c r="I71" i="7"/>
  <c r="E309" i="8" l="1"/>
  <c r="E143" i="8" l="1"/>
  <c r="E418" i="8" l="1"/>
  <c r="C431" i="8"/>
  <c r="C432" i="8" s="1"/>
  <c r="D431" i="8" l="1"/>
  <c r="D432" i="8" s="1"/>
  <c r="E431" i="8" l="1"/>
  <c r="E130" i="8"/>
  <c r="B11" i="7" l="1"/>
  <c r="B10" i="7" s="1"/>
  <c r="C14" i="7"/>
  <c r="D14" i="7"/>
  <c r="B14" i="7"/>
  <c r="E7" i="8"/>
  <c r="E58" i="8"/>
  <c r="D13" i="7" l="1"/>
  <c r="C13" i="7"/>
  <c r="B13" i="7"/>
  <c r="D5" i="7"/>
  <c r="C11" i="7"/>
  <c r="C10" i="7" s="1"/>
  <c r="B5" i="7" l="1"/>
  <c r="C5" i="7"/>
  <c r="D11" i="7"/>
  <c r="D10" i="7" l="1"/>
  <c r="E432" i="8"/>
  <c r="D8" i="7"/>
  <c r="D49" i="7" s="1"/>
  <c r="C8" i="7"/>
  <c r="C49" i="7" s="1"/>
  <c r="C7" i="7" l="1"/>
  <c r="D7" i="7"/>
  <c r="B8" i="7" l="1"/>
  <c r="B49" i="7" s="1"/>
  <c r="B7" i="7" l="1"/>
  <c r="B288" i="14"/>
  <c r="B18" i="7" l="1"/>
  <c r="B16" i="7" l="1"/>
  <c r="D62" i="7" l="1"/>
  <c r="B62" i="7"/>
  <c r="C58" i="7"/>
  <c r="B284" i="14"/>
  <c r="B297" i="14" s="1"/>
  <c r="E7" i="14"/>
  <c r="D284" i="14"/>
  <c r="D297" i="14" s="1"/>
  <c r="C284" i="14"/>
  <c r="C297" i="14" s="1"/>
  <c r="C62" i="7" l="1"/>
  <c r="N58" i="7"/>
  <c r="B6" i="7"/>
  <c r="B50" i="7" s="1"/>
  <c r="E64" i="14"/>
  <c r="E297" i="14"/>
  <c r="C6" i="7"/>
  <c r="C50" i="7" s="1"/>
  <c r="E284" i="14"/>
  <c r="D6" i="7"/>
  <c r="D50" i="7" s="1"/>
  <c r="B52" i="7" l="1"/>
  <c r="B4" i="7"/>
  <c r="B43" i="7" s="1"/>
  <c r="B67" i="7" s="1"/>
  <c r="C52" i="7"/>
  <c r="C4" i="7"/>
  <c r="C43" i="7" s="1"/>
  <c r="D4" i="7"/>
  <c r="D43" i="7" s="1"/>
  <c r="D5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Foret Oldřich</author>
  </authors>
  <commentList>
    <comment ref="B67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+ OMPSČ
</t>
        </r>
      </text>
    </comment>
  </commentList>
</comments>
</file>

<file path=xl/sharedStrings.xml><?xml version="1.0" encoding="utf-8"?>
<sst xmlns="http://schemas.openxmlformats.org/spreadsheetml/2006/main" count="1365" uniqueCount="542">
  <si>
    <t>schválený rozpočet</t>
  </si>
  <si>
    <t>upravený rozpočet</t>
  </si>
  <si>
    <t>ORG</t>
  </si>
  <si>
    <t>Celkem</t>
  </si>
  <si>
    <t>skutečnost</t>
  </si>
  <si>
    <t>název akce</t>
  </si>
  <si>
    <t xml:space="preserve"> %</t>
  </si>
  <si>
    <t>oblast školství</t>
  </si>
  <si>
    <t>oblast kultury</t>
  </si>
  <si>
    <t>oblast sociální</t>
  </si>
  <si>
    <t>oblast zdravotnictví</t>
  </si>
  <si>
    <t>oblast dopravy</t>
  </si>
  <si>
    <t>Rekapitulace:</t>
  </si>
  <si>
    <t xml:space="preserve"> - oblast dopravy</t>
  </si>
  <si>
    <t xml:space="preserve"> - oblast zdravotnictví</t>
  </si>
  <si>
    <t xml:space="preserve"> - oblast sociální</t>
  </si>
  <si>
    <t xml:space="preserve"> - oblast školství</t>
  </si>
  <si>
    <t xml:space="preserve"> - oblast kultury</t>
  </si>
  <si>
    <t>v Kč</t>
  </si>
  <si>
    <t>1. Oblast školství</t>
  </si>
  <si>
    <t xml:space="preserve">Oblast školství celkem </t>
  </si>
  <si>
    <t xml:space="preserve">Oblast sociální celkem </t>
  </si>
  <si>
    <t xml:space="preserve">Oblast kultury celkem </t>
  </si>
  <si>
    <t xml:space="preserve">Oblast zdravotnictví celkem </t>
  </si>
  <si>
    <t xml:space="preserve">Oblast dopravy celkem </t>
  </si>
  <si>
    <t xml:space="preserve"> - rozpočet kraje</t>
  </si>
  <si>
    <t>oblast krajské správy</t>
  </si>
  <si>
    <t>CELKEM</t>
  </si>
  <si>
    <t xml:space="preserve">2. Oblast sociální </t>
  </si>
  <si>
    <t>b/ akce zajišťované příspěvkovými organizacemi</t>
  </si>
  <si>
    <t xml:space="preserve">5. Oblast zdravotnictví </t>
  </si>
  <si>
    <t>oblast zdravotnictví - nájemné NOK</t>
  </si>
  <si>
    <t>ORJ 17</t>
  </si>
  <si>
    <t>PO</t>
  </si>
  <si>
    <t>ORJ 04</t>
  </si>
  <si>
    <t>ORJ 59</t>
  </si>
  <si>
    <t>Vypořádání staveb po jejich dokončení z minulých let - výkupy pozemků a jiné</t>
  </si>
  <si>
    <t>ORJ 50</t>
  </si>
  <si>
    <t>ORJ 52</t>
  </si>
  <si>
    <t>akce zajišťované příslušnými odbory</t>
  </si>
  <si>
    <t>kř. II/367 - Tovačov</t>
  </si>
  <si>
    <t>ORJ 50, UZ 88x</t>
  </si>
  <si>
    <t>b/ akce zajišťované Správou silnic Olomouckého kraje (ORG 1600)</t>
  </si>
  <si>
    <t>UZ 12</t>
  </si>
  <si>
    <t xml:space="preserve"> - investiční výdaje odborů</t>
  </si>
  <si>
    <t>3. Oblast kultury</t>
  </si>
  <si>
    <t>4. Oblast dopravy</t>
  </si>
  <si>
    <t>Leština - Hrabišín</t>
  </si>
  <si>
    <t>hr.okr.Ustí nad O - křiž. II/446 před Hanušovicemi</t>
  </si>
  <si>
    <t>Oblast cestovního ruchu</t>
  </si>
  <si>
    <t>Oblast cestovního ruchu celkem</t>
  </si>
  <si>
    <t xml:space="preserve"> - oblast cestovního ruchu</t>
  </si>
  <si>
    <t>oblast cestovního ruchu</t>
  </si>
  <si>
    <t>odbor kancelář ředitele</t>
  </si>
  <si>
    <t>1656</t>
  </si>
  <si>
    <t>100824</t>
  </si>
  <si>
    <t>Modernizace učeben a vybavení pro odborný výcvik (Střední škola gastronomie a farmářství Jeseník, pracoviště Horní Heřmanice)</t>
  </si>
  <si>
    <t>Vincentinum Šternberk, příspěvková organizace – rekonstrukce budovy ve Vikýřovicích</t>
  </si>
  <si>
    <t>Vypořádání staveb po jejich dokončení z minul. let - výkupy pozemků a jiné</t>
  </si>
  <si>
    <t xml:space="preserve">Štěpánov, křižovatka Březecká </t>
  </si>
  <si>
    <t>Štarnov - průtah</t>
  </si>
  <si>
    <t>1642</t>
  </si>
  <si>
    <t>1657</t>
  </si>
  <si>
    <t>1661</t>
  </si>
  <si>
    <t>1663</t>
  </si>
  <si>
    <t>100130 + 000000</t>
  </si>
  <si>
    <t xml:space="preserve">a) Financováno z rozpočtu Olomouckého kraje </t>
  </si>
  <si>
    <t>a) akce zajišťované odborem investic</t>
  </si>
  <si>
    <t>c) SMN</t>
  </si>
  <si>
    <t>PO, ORJ 12</t>
  </si>
  <si>
    <t>a) akce zajišťované odborem investic a odborem strategického rozvoje kraje</t>
  </si>
  <si>
    <t>ORJ 52, UZ 88x</t>
  </si>
  <si>
    <t>Švehlova střední škola polytechnická Prostějov – Centrum odborné přípravy pro obory polytechnického zaměření</t>
  </si>
  <si>
    <t>Ohrozim - obchvat</t>
  </si>
  <si>
    <t>Prostějov - přeložka silnice II/366 od Tesca</t>
  </si>
  <si>
    <t>Mohelnice - křížení s železniční tratí</t>
  </si>
  <si>
    <t>II/570 Slatinice - Olomouc</t>
  </si>
  <si>
    <t>II/150 hr. kraje - Prostějov</t>
  </si>
  <si>
    <t>II/150 Přerov - jihozápadní obchvat, přeložka</t>
  </si>
  <si>
    <t>ZZS OK - Výstavba nových výjezdových základen – Jeseník</t>
  </si>
  <si>
    <t xml:space="preserve"> - SMN</t>
  </si>
  <si>
    <t>Orj 18</t>
  </si>
  <si>
    <t>PO, UZ 11, POL 5331</t>
  </si>
  <si>
    <t>PO, UZ 11, POL 6351</t>
  </si>
  <si>
    <t>1640</t>
  </si>
  <si>
    <t>1659</t>
  </si>
  <si>
    <t>PO, UZ 13, POL 5331</t>
  </si>
  <si>
    <t>PO, UZ 13, POL 6351</t>
  </si>
  <si>
    <t>Účelové dotace</t>
  </si>
  <si>
    <t>Orj 01</t>
  </si>
  <si>
    <t>Zapojení KB</t>
  </si>
  <si>
    <t>RU - Skutečnost</t>
  </si>
  <si>
    <t>akce zajišťované odborem investic</t>
  </si>
  <si>
    <t>c) akce zajišťované odborem majetkovým, právním a správních činností</t>
  </si>
  <si>
    <t>Investiční výdaje odborů celkem</t>
  </si>
  <si>
    <t xml:space="preserve">Oblast zdravotnictví </t>
  </si>
  <si>
    <t>SMN</t>
  </si>
  <si>
    <t xml:space="preserve"> - projekty spolufinancované</t>
  </si>
  <si>
    <t>b) Projekty spolufinancované z evropských a národních fondů</t>
  </si>
  <si>
    <t xml:space="preserve">Rekapitulace dle financovaných oblastí: </t>
  </si>
  <si>
    <t>akce hrazené z rozpočtu OK</t>
  </si>
  <si>
    <t>projekty spolufinancované z EF a NF</t>
  </si>
  <si>
    <t>akce hrazené z nájemného SMN</t>
  </si>
  <si>
    <t xml:space="preserve">Rekapitulace dle zdrojů financování: </t>
  </si>
  <si>
    <t>hrazené z rozpočtu OK</t>
  </si>
  <si>
    <t>hrazené z účelových dotací</t>
  </si>
  <si>
    <t>ORJ 6</t>
  </si>
  <si>
    <t>odbor informačních technologií</t>
  </si>
  <si>
    <t>Orj 06</t>
  </si>
  <si>
    <t>Správa silnic Olomouckého kraje, Lipenská 120, Olomouc</t>
  </si>
  <si>
    <t>101343</t>
  </si>
  <si>
    <t>akce zajišťované odborem strategického rozvoje kraje</t>
  </si>
  <si>
    <t>Oblast životního prostředí</t>
  </si>
  <si>
    <t>Oblast životního prostředí celkem</t>
  </si>
  <si>
    <t xml:space="preserve"> - oblast životního prostředí</t>
  </si>
  <si>
    <t>akce zajišťované odborem investic a odborem strategického rozvoje kraje</t>
  </si>
  <si>
    <r>
      <t>Rozpočet OK</t>
    </r>
    <r>
      <rPr>
        <b/>
        <sz val="8"/>
        <rFont val="Arial"/>
        <family val="2"/>
        <charset val="238"/>
      </rPr>
      <t xml:space="preserve"> (bez dotace)</t>
    </r>
  </si>
  <si>
    <t>PPF</t>
  </si>
  <si>
    <t>Zapojení PPF</t>
  </si>
  <si>
    <t>Úvěr KB (100 mil. Kč)</t>
  </si>
  <si>
    <t>Transformace příspěvkové organizace Nové Zámky – poskytovatel sociálních služeb - IV.etapa - novostavba RD Zábřeh, Malá Strana</t>
  </si>
  <si>
    <t>oblast životního prostředí</t>
  </si>
  <si>
    <t>101413</t>
  </si>
  <si>
    <t>101415</t>
  </si>
  <si>
    <t>1637</t>
  </si>
  <si>
    <t>Základní škola a Mateřská škola logopedická Olomouc -  Koridor školy a átrium</t>
  </si>
  <si>
    <t>Domov pro seniory Javorník - Novostavba Kobylá nad Vidnávkou</t>
  </si>
  <si>
    <t>Cyklostezky Olomouckého kraje - 06 Horní Lipová - Ramzová - Ostružná</t>
  </si>
  <si>
    <t>ORJ 59, UZ 88x</t>
  </si>
  <si>
    <t>ORJ 12, UZ 88x</t>
  </si>
  <si>
    <t>Podpora biodiverzity v Olomouckém kraji - péče o vybrané evropsky významné lokality</t>
  </si>
  <si>
    <t>bez DPH</t>
  </si>
  <si>
    <t>101462</t>
  </si>
  <si>
    <t>101463</t>
  </si>
  <si>
    <t>Oblast územního plánování celkem</t>
  </si>
  <si>
    <t xml:space="preserve"> - oblast územního plánování</t>
  </si>
  <si>
    <t>Oblast územního plánování</t>
  </si>
  <si>
    <t>ORJ 3</t>
  </si>
  <si>
    <t>ORJ 03</t>
  </si>
  <si>
    <t>ORJ 06</t>
  </si>
  <si>
    <t>CSS Prostějov - Nová budova domova pro seniory</t>
  </si>
  <si>
    <t>Domov Větrný mlýn Skalička - Revitalizace rybníka</t>
  </si>
  <si>
    <t>Vědecká knihovna v Olomouci - stavební úpravy objektu Červeného kostela</t>
  </si>
  <si>
    <t>Cyklostezky Olomouckého kraje – 12.04 Spojnice Zábřeh-Lesnice (III-3701) až spojnice Zábřeh-Leština (II-315)</t>
  </si>
  <si>
    <t>II/488 Olomouc - přeložka silnice  - I. etapa</t>
  </si>
  <si>
    <t>Digitální technická mapa</t>
  </si>
  <si>
    <t>oblast územního plánování</t>
  </si>
  <si>
    <t>Schválený rozpočet</t>
  </si>
  <si>
    <t>hrazené z účelových dotací - SFDI</t>
  </si>
  <si>
    <t>Odkupy pozemků</t>
  </si>
  <si>
    <t xml:space="preserve">Odkup pozemku </t>
  </si>
  <si>
    <t>PO, UZ 10, POL 5331</t>
  </si>
  <si>
    <t>PO, UZ 10, POL 6351</t>
  </si>
  <si>
    <t>PO, UZ 14, POL 6351</t>
  </si>
  <si>
    <t>PO, UZ 14, POL 5331</t>
  </si>
  <si>
    <t>ORJ 50, UZ 818, 819, 820 a 821</t>
  </si>
  <si>
    <t>ORJ 52, UZ 884</t>
  </si>
  <si>
    <t>ORJ 52, UZ 23, 884</t>
  </si>
  <si>
    <t>SMN a.s. - o.z. Nemocnice Šternberk - Magnetická rezonance - a) zateplení</t>
  </si>
  <si>
    <t>ORJ 59, UZ 818, 819</t>
  </si>
  <si>
    <t>101505</t>
  </si>
  <si>
    <t xml:space="preserve">Bezbariérové úpravy školských zařízení v Olomouckém kraji - Obchodní akademie Olomouc </t>
  </si>
  <si>
    <t>Vlastivědné muzeum v Olomouci - Úprava nádvoří VMO, včetně kanalizace</t>
  </si>
  <si>
    <t>ZZS OK - Výstavba nových výjezdových základen - Šternberk</t>
  </si>
  <si>
    <t>ZZS OK - Výstavba nových výjezdových základen - Prostějov</t>
  </si>
  <si>
    <t>ZZS OK - Výstavba nových výjezdových základen - Javorník</t>
  </si>
  <si>
    <t>ZZS OK - vzdělávací a výcvikové středisko - Olomouc (Hněvotínská)</t>
  </si>
  <si>
    <t>ORJ 52, UZ 818, 819</t>
  </si>
  <si>
    <t>Pořízení vozidel pro poskytovatele sociálních služeb v Olomouckém kraji</t>
  </si>
  <si>
    <t>Muzeum Komenského v Přerově - rekonstrukce budovy ORNIS</t>
  </si>
  <si>
    <t>II/449 MÚK Unčovice - Litovel, úseky A, C, okružní křižovatka</t>
  </si>
  <si>
    <t>Odborný léčebný ústav, Paseka - Modernizace lůžkového fondu pavilonu A</t>
  </si>
  <si>
    <t>101503</t>
  </si>
  <si>
    <t>E-turista</t>
  </si>
  <si>
    <t>ORJ 10 UZ 880</t>
  </si>
  <si>
    <t>hrazené z revolvingu KB (1 mld. Kč)</t>
  </si>
  <si>
    <t>Revolving KB (1 mld. Kč)</t>
  </si>
  <si>
    <t>100520</t>
  </si>
  <si>
    <t>101206</t>
  </si>
  <si>
    <t>101303</t>
  </si>
  <si>
    <t>101523</t>
  </si>
  <si>
    <t>101524</t>
  </si>
  <si>
    <t>101525</t>
  </si>
  <si>
    <t>101530</t>
  </si>
  <si>
    <t>101531</t>
  </si>
  <si>
    <t>101533</t>
  </si>
  <si>
    <t>1645</t>
  </si>
  <si>
    <t>1647</t>
  </si>
  <si>
    <t>1633</t>
  </si>
  <si>
    <t>1638</t>
  </si>
  <si>
    <t>1639</t>
  </si>
  <si>
    <t>1646</t>
  </si>
  <si>
    <t>1650</t>
  </si>
  <si>
    <t>1653</t>
  </si>
  <si>
    <t>1658</t>
  </si>
  <si>
    <t>1660</t>
  </si>
  <si>
    <t>II/366 Prostějov - okružní křižovatka</t>
  </si>
  <si>
    <t>ORJ 17, UZ 14 a 23</t>
  </si>
  <si>
    <t>odbor kancelář hejtmana</t>
  </si>
  <si>
    <r>
      <t>ORJ 12,</t>
    </r>
    <r>
      <rPr>
        <b/>
        <sz val="10"/>
        <color rgb="FF0070C0"/>
        <rFont val="Arial"/>
        <family val="2"/>
        <charset val="238"/>
      </rPr>
      <t xml:space="preserve"> SFDI UZ 91252 a 91628 (Pol 6356)</t>
    </r>
  </si>
  <si>
    <t>101348</t>
  </si>
  <si>
    <t>Opravy a investice Olomouckého kraje 2022</t>
  </si>
  <si>
    <t>ORJ 52, UZ 880 a 884</t>
  </si>
  <si>
    <t>ORJ 52, UZ 884 a 23</t>
  </si>
  <si>
    <t>Oblast informačních technologií</t>
  </si>
  <si>
    <t xml:space="preserve"> - oblast informačních technologií</t>
  </si>
  <si>
    <t>Oblast informačních technologií celkem</t>
  </si>
  <si>
    <t>SFDI + dotace</t>
  </si>
  <si>
    <t>7. Oblast cestovního ruchu</t>
  </si>
  <si>
    <t>8. Oblast životního prostředí</t>
  </si>
  <si>
    <t>9. Oblast informačních technologií</t>
  </si>
  <si>
    <t>6. Oblast rozvoje lidských zdrojů</t>
  </si>
  <si>
    <t>Oblast rozvoje lidských zdrojů celkem</t>
  </si>
  <si>
    <t>ORJ 64, UZ 88x</t>
  </si>
  <si>
    <t>ORJ 64, UZ x63</t>
  </si>
  <si>
    <t>ORJ 64</t>
  </si>
  <si>
    <t>Oblast rozvoje lidských zdrojů</t>
  </si>
  <si>
    <t xml:space="preserve"> - oblast rozvoje lidských zdrojů</t>
  </si>
  <si>
    <t>ORJ 60, UZ 88x</t>
  </si>
  <si>
    <t>101514</t>
  </si>
  <si>
    <t>ORJ 60</t>
  </si>
  <si>
    <t>101515</t>
  </si>
  <si>
    <t>ORJ 64, UZ 144113021 a 144513021</t>
  </si>
  <si>
    <t>10. Oblast regionálního rozvoje</t>
  </si>
  <si>
    <t>11. Oblast územního plánování</t>
  </si>
  <si>
    <t xml:space="preserve"> - oblast regionálního rozvoje</t>
  </si>
  <si>
    <t>Oblast regionálního rozvoje</t>
  </si>
  <si>
    <t>Oblast regionálního rozvoje celkem</t>
  </si>
  <si>
    <t>ORJ 74</t>
  </si>
  <si>
    <t>ORJ 74, UZ 88x</t>
  </si>
  <si>
    <t>ORJ 74, UZ 103533062</t>
  </si>
  <si>
    <t>12. Program podpory malých prodejen na venkově - OBCHŮDEK 2021+</t>
  </si>
  <si>
    <t>Program podpory malých prodejen na venkově - OBCHŮDEK 2021+</t>
  </si>
  <si>
    <t>Program podpory malých prodejen na venkově - OBCHŮDEK 2021+ celkem</t>
  </si>
  <si>
    <t>ORJ 33</t>
  </si>
  <si>
    <t xml:space="preserve"> - Program podpory malých prodejen na venkově - OBCHŮDEK 2021+</t>
  </si>
  <si>
    <t>ORJ 76, UZ 88x</t>
  </si>
  <si>
    <t>ORJ 76, UZ 103133063 a 103533063</t>
  </si>
  <si>
    <t>13. Investiční výdaje odboru</t>
  </si>
  <si>
    <t>Investiční výdaje odboru</t>
  </si>
  <si>
    <t>Investiční výdaje odboru celkem</t>
  </si>
  <si>
    <t xml:space="preserve"> - investiční výdaje odboru</t>
  </si>
  <si>
    <t>ORJ 30</t>
  </si>
  <si>
    <t>ORJ 76</t>
  </si>
  <si>
    <t>oblast rozvoje lidských zdrojů</t>
  </si>
  <si>
    <t>oblast informačních technologií</t>
  </si>
  <si>
    <t>oblast regionálního rozvoje</t>
  </si>
  <si>
    <t>ORJ 18</t>
  </si>
  <si>
    <t>Rezerva</t>
  </si>
  <si>
    <t>Rezerva na nákupy</t>
  </si>
  <si>
    <t xml:space="preserve">Rezerva </t>
  </si>
  <si>
    <t>PO, Pol 6351 (KIDSOK)</t>
  </si>
  <si>
    <t>PO, Pol 6351 (SSOK)</t>
  </si>
  <si>
    <t>Schválený rozpočet + OMPSČ</t>
  </si>
  <si>
    <t>Střední zdravotnická škola a Vyšší odborná škola zdravotnická Emanuela Pöttinga a Jazyková škola s právem státní jazykové zkoušky Olomouc - Elektroinstalace v budově domova mládeže</t>
  </si>
  <si>
    <t xml:space="preserve">Gymnázium, Olomouc - Hejčín, Tomkova 45 - Elektroinstalace na budově A a C </t>
  </si>
  <si>
    <t>SŠ, ZŠ a MŠ Prostějov, Komenského 10 - Bezbariérové užívání objektu ZŠ</t>
  </si>
  <si>
    <t>Střední průmyslová škola Jeseník, Dukelská 1240 - Rekonstrukce rozvodů areálu dílen praktické výuky</t>
  </si>
  <si>
    <t>Střední škola gastronomie a farmářství Jeseník - Zázemí tělocvičny školy - pracoviště  Horní Heřmanice</t>
  </si>
  <si>
    <t>Střední zdravotnická škola a Vyšší odborná škola zdravotnická Emanuela Pöttinga a Jazyková škola s právem státní jazykové zkoušky Olomouc - Rekonstrukce střechy nad tělocvičnou</t>
  </si>
  <si>
    <t xml:space="preserve">Střední průmyslová škola, Přerov, Havlíčkova 2 - Výměna oken v budově "B" </t>
  </si>
  <si>
    <t>Střední škola technická, Přerov, Kouřílkova 8 - Rekonstrukce sociálního zařízení TV2</t>
  </si>
  <si>
    <t>Střední průmyslová škola a Střední odborné učiliště Uničov - Oprava historické fasády školy</t>
  </si>
  <si>
    <t>Střední škola technická a obchodní, Olomouc, Kosinova 4 - Rekonstrukce plynové kotelny</t>
  </si>
  <si>
    <t xml:space="preserve">Švehlova střední škola polytechnická, Prostějov - rekonstrukce kotelny Kollárova 12, Prostějov </t>
  </si>
  <si>
    <t>Střední škola řemesel, Šumperk - technické oddělení objektu Zámku</t>
  </si>
  <si>
    <t>Střední škola sociální péče a služeb, Zábřeh - sportovní hala</t>
  </si>
  <si>
    <t xml:space="preserve">Vincentinum - poskytovatel sociálních služeb Šternberk - Pracovní dílny pro klienty </t>
  </si>
  <si>
    <t>Domov Sněženka Jeseník - Vzduchotechnika kuchyně a prádelny</t>
  </si>
  <si>
    <t>Domov pro seniory Tovačov - Rekonstrukce gastroprovozu</t>
  </si>
  <si>
    <t>Domov Štíty-Jedlí - nová budova v Jedlí</t>
  </si>
  <si>
    <t>Vincentinum - poskytovatel sociálních služeb Šternberk - Rekonstrukce budovy Šumperk, Kozinova 4</t>
  </si>
  <si>
    <t>Domov pro seniory Jesenec - výstavba nové budovy</t>
  </si>
  <si>
    <t>Sociální služby Libina - výstavba nové budovy</t>
  </si>
  <si>
    <t>Transformace příspěvkové organizace Domov Větrný mlýn Skalička - objekt Veselíčko č. p. 96</t>
  </si>
  <si>
    <t>Transformace příspěvkové organizace Centrum Dominika Kokory - objekt Kokory č. p. 299</t>
  </si>
  <si>
    <t>Sociální služby pro seniory Olomouc - parkování pro služební vozidla</t>
  </si>
  <si>
    <t>Vlastivědné muzeum v Olomouci - statické zajištění depozitáře v Denisově ulici</t>
  </si>
  <si>
    <t>Muzeum a galerie v Prostějově - Depozitář Lidická</t>
  </si>
  <si>
    <t xml:space="preserve">Zvýšení přeshraniční dostupnosti Hanušovice - Stronie Ślaskie </t>
  </si>
  <si>
    <t>Cyklostezky Olomouckého kraje - 14.2 Mitrovice - Nové Mlýny - stará silnice</t>
  </si>
  <si>
    <t>Zlepšení dopravní dostupnosti Východních Sudet (Silnice II/457 hr. s Polskem - Javorník, kř. s I/60H)</t>
  </si>
  <si>
    <t>OLÚ Paseka - hospodaření se srážkovými vodami (Paseka)</t>
  </si>
  <si>
    <t>OLÚ Paseka - Modernizace lůžkových oddělení pavilonu 2 v Moravském Berouně</t>
  </si>
  <si>
    <t>REÚO - Střední průmyslová škola elektrotechnická a Obchodní akademie Mohelnice - budovy internátu a jídelna - B) VZDUCHOTECHNIKA</t>
  </si>
  <si>
    <t>Střední průmyslová škola Hranice - Špičkovými technologiemi a interakcí k moderní výuce a úsporám energií</t>
  </si>
  <si>
    <t>Střední průmyslová škola a Střední odborné učiliště Uničov - Modernizace odborných učeben SPŠ a SOU Uničov</t>
  </si>
  <si>
    <t>Gymnázium Šternberk, Horní náměstí 5 - Modernizace laboratoře učeben</t>
  </si>
  <si>
    <t>DDM Olomouc - Modernizace odborných učeben ICT a polytechnického vzdělávání</t>
  </si>
  <si>
    <t>Domov Na zámečku Rokytnice - Půdní vestavba (část evakuační výtah)</t>
  </si>
  <si>
    <t>Domov Alfreda Skeneho Pavlovice u Přerova, příspěvková organizace - Stavební úpravy pokojů a sociálních zařízení - budova Zámku</t>
  </si>
  <si>
    <t>Transformace příspěvkové organizace Nové Zámky - poskytovatel sociálních služeb - V. etapa -  novostavba RD Medlov - Králová</t>
  </si>
  <si>
    <t>Azylové domy v Olomouckém kraji II.</t>
  </si>
  <si>
    <t>Podpora plánování sociálních služeb na území Olomouckého kraje</t>
  </si>
  <si>
    <t xml:space="preserve">Nová stálá expozice živé přírody Jesenicka </t>
  </si>
  <si>
    <t>Krajská digitalizační jednotka a krajský digitální repozitář</t>
  </si>
  <si>
    <t>Přerov - Doloplazy - kř. II/437</t>
  </si>
  <si>
    <t>SMN a.s. - o.z. Nemocnice Šternberk - Interní pavilon</t>
  </si>
  <si>
    <t>ZZS OK - Výstavba nových výjezdových základen - Zábřeh</t>
  </si>
  <si>
    <t>Rovné příležitosti ve vzdělávání v Olomouckém kraji</t>
  </si>
  <si>
    <t>Implementace krajského akčního plánu v Olomouckém kraji IKAP OK II.</t>
  </si>
  <si>
    <t>Krajský akční plán rozvoje vzdělávání Olomouckého kraje III. - přímé náklady</t>
  </si>
  <si>
    <t>Krajský akční plán rozvoje vzdělávání Olomouckého kraje III. - paušál</t>
  </si>
  <si>
    <t>Řešení dostupnosti, bezpečnosti a odolnosti VIS a DTM</t>
  </si>
  <si>
    <t>ZZS OK - Kybernetická bezpečnost</t>
  </si>
  <si>
    <t>Robotizace procesů KÚOK</t>
  </si>
  <si>
    <t>Projekt technické pomoci Olomouckého kraje v rámci INTERREG V-A Česká republika</t>
  </si>
  <si>
    <t>Projekt Smart Akcelerátor Olomouckého kraje II. (přímé náklady)</t>
  </si>
  <si>
    <t>Projekt Smart Akcelerátor Olomouckého kraje II. (nepřímé náklady)</t>
  </si>
  <si>
    <t>Rozvoj regionálního partnerství v programovém období EU 2014-20 - IV.</t>
  </si>
  <si>
    <t>Portál územního plánování</t>
  </si>
  <si>
    <t xml:space="preserve">Oblast regionálního rozvoje celkem </t>
  </si>
  <si>
    <t>Opravy a investice Olomouckého kraje 2023</t>
  </si>
  <si>
    <t>101194</t>
  </si>
  <si>
    <t>101195</t>
  </si>
  <si>
    <t>101289</t>
  </si>
  <si>
    <t>101297</t>
  </si>
  <si>
    <t>101426</t>
  </si>
  <si>
    <t>101461</t>
  </si>
  <si>
    <t>101553</t>
  </si>
  <si>
    <t>101582</t>
  </si>
  <si>
    <t>101590</t>
  </si>
  <si>
    <t>101594</t>
  </si>
  <si>
    <t>101604</t>
  </si>
  <si>
    <t>101605</t>
  </si>
  <si>
    <t>101606</t>
  </si>
  <si>
    <t>101607</t>
  </si>
  <si>
    <t>101608</t>
  </si>
  <si>
    <t>101609</t>
  </si>
  <si>
    <t>101610</t>
  </si>
  <si>
    <t>101616</t>
  </si>
  <si>
    <t>101617</t>
  </si>
  <si>
    <t>101618</t>
  </si>
  <si>
    <t>101619</t>
  </si>
  <si>
    <t>101620</t>
  </si>
  <si>
    <t>101621</t>
  </si>
  <si>
    <t>101622</t>
  </si>
  <si>
    <t>101623</t>
  </si>
  <si>
    <t>101628</t>
  </si>
  <si>
    <t>101629</t>
  </si>
  <si>
    <t>101630</t>
  </si>
  <si>
    <t>101631</t>
  </si>
  <si>
    <t>101632</t>
  </si>
  <si>
    <t>ORJ 50, UZ 818 a 819</t>
  </si>
  <si>
    <t>ORJ 52, UZ 10 a 88x</t>
  </si>
  <si>
    <t>ORJ 52, UZ 10</t>
  </si>
  <si>
    <t>ORJ 52, UZ 818</t>
  </si>
  <si>
    <t>ORJ 52, UZ10</t>
  </si>
  <si>
    <t>ORJ 52, UZ 11</t>
  </si>
  <si>
    <t>101501</t>
  </si>
  <si>
    <t>101550</t>
  </si>
  <si>
    <t>101535</t>
  </si>
  <si>
    <t>101536</t>
  </si>
  <si>
    <t>101537</t>
  </si>
  <si>
    <t>ORJ 52, UZ 11 a 884</t>
  </si>
  <si>
    <t>101538</t>
  </si>
  <si>
    <t>101539</t>
  </si>
  <si>
    <t>101551</t>
  </si>
  <si>
    <t>101552</t>
  </si>
  <si>
    <t>101639</t>
  </si>
  <si>
    <t>101647</t>
  </si>
  <si>
    <t>ORJ 52, UZ 13</t>
  </si>
  <si>
    <t>ORJ 52, UZ 15 + 17</t>
  </si>
  <si>
    <t>ORJ 17, UZ 15</t>
  </si>
  <si>
    <t>ORJ 52, UZ 23, 880 a 884</t>
  </si>
  <si>
    <t>ORJ 17, UZ 23</t>
  </si>
  <si>
    <t>oblast krizového řízení</t>
  </si>
  <si>
    <t xml:space="preserve">Oblast krizového řízení celkem </t>
  </si>
  <si>
    <t xml:space="preserve"> - oblast krizového řízení</t>
  </si>
  <si>
    <t>oblast Krajský úřad a zastupitelé</t>
  </si>
  <si>
    <t xml:space="preserve">Oblast Krajský úřad a zastupitelé celkem </t>
  </si>
  <si>
    <t xml:space="preserve"> - oblast Krajský úřad a zastupitelé</t>
  </si>
  <si>
    <t>Dobudování EPS s napojením na CPO pro PO v oblasti sociální</t>
  </si>
  <si>
    <t>ORJ 52, UZ 14</t>
  </si>
  <si>
    <t>Rezerva na přípravu a podání projektů</t>
  </si>
  <si>
    <t>ORJ 52, UZ 10 a 884</t>
  </si>
  <si>
    <t>101627</t>
  </si>
  <si>
    <t>ORJ 60, UZ 144113021 a 144513021</t>
  </si>
  <si>
    <t>101545</t>
  </si>
  <si>
    <t>101591</t>
  </si>
  <si>
    <t>ORJ 64, UZ 144513021</t>
  </si>
  <si>
    <t>ORJ 74, UZ 0</t>
  </si>
  <si>
    <t>ORJ 74, UZ 143133091 a 143533091</t>
  </si>
  <si>
    <t>ORJ 10 UZ 144500880 (obědy do škol)</t>
  </si>
  <si>
    <r>
      <t xml:space="preserve">ORJ 10, </t>
    </r>
    <r>
      <rPr>
        <b/>
        <sz val="10"/>
        <color rgb="FF0070C0"/>
        <rFont val="Arial"/>
        <family val="2"/>
        <charset val="238"/>
      </rPr>
      <t>UZ 29501</t>
    </r>
  </si>
  <si>
    <r>
      <t xml:space="preserve">ORJ 10, </t>
    </r>
    <r>
      <rPr>
        <b/>
        <sz val="10"/>
        <color rgb="FF0070C0"/>
        <rFont val="Arial"/>
        <family val="2"/>
        <charset val="238"/>
      </rPr>
      <t>UZ 107517969 a 107517016</t>
    </r>
  </si>
  <si>
    <t>1641</t>
  </si>
  <si>
    <t>1649</t>
  </si>
  <si>
    <t>1654</t>
  </si>
  <si>
    <t>1631</t>
  </si>
  <si>
    <t>1635</t>
  </si>
  <si>
    <t>1636</t>
  </si>
  <si>
    <t>1652</t>
  </si>
  <si>
    <t xml:space="preserve">Nákup nemovitosti v k-ú. A obci Šumperk tzv. "robotárny" </t>
  </si>
  <si>
    <t>odbor sociálních věcí</t>
  </si>
  <si>
    <t>6. Oblast cestovního ruchu</t>
  </si>
  <si>
    <t xml:space="preserve">Oblast cestovního ruchu celkem </t>
  </si>
  <si>
    <t>7. Oblast krizového řízení</t>
  </si>
  <si>
    <t>8. Oblast regionálního rozvoje</t>
  </si>
  <si>
    <t>9. Oblast Krajský úřad a zastupitelé</t>
  </si>
  <si>
    <t>10. Investiční výdaje odborů</t>
  </si>
  <si>
    <t>ORJ 11</t>
  </si>
  <si>
    <t>Dopravní prostředky</t>
  </si>
  <si>
    <t>Přehled financování oprav, investic a projektů PO v roce 2023</t>
  </si>
  <si>
    <t>8. Přehled financování oprav, investic a projektů v roce 2023</t>
  </si>
  <si>
    <t>Střední průmyslová škola, Přerov, Havlíčkova 2 - Rekonstrukce dílen praktického vyučování</t>
  </si>
  <si>
    <t>Střední škola polytechnická, Olomouc - Rekonstrukce domova mládeže</t>
  </si>
  <si>
    <t>Střední škola řemesel, Šumperk - dílny</t>
  </si>
  <si>
    <t>Základní škola Uničov, Šternberská 35 - Rekonstrukce střechy a půdní vestavba</t>
  </si>
  <si>
    <t xml:space="preserve">Střední odborná škola obchodu a služeb, Olomouc, Štursova 14 - Rekonstrukce sportovního areálu </t>
  </si>
  <si>
    <t>Střední odborná škola lesnická a strojírenská Šternberk - Realizace úsporných opatření budov Opavská 8</t>
  </si>
  <si>
    <t>Gymnázium, Hranice, Zborovská 293 - Výměna oken a zateplení fasády na přístavbě školy</t>
  </si>
  <si>
    <t xml:space="preserve">Střední průmyslová škola, Přerov, Havlíčkova 2 - Výměna rozvodů elektrické energie v budově "B" </t>
  </si>
  <si>
    <t>Střední škola gastronomie a služeb, Přerov, Šířava 7 - Školní hřiště</t>
  </si>
  <si>
    <t>Střední škola elektrotechnická, Lipník nad Bečvou, Tyršova 781 - Zateplení domova mládeže</t>
  </si>
  <si>
    <t>Střední průmyslová škola elektrotechnická, Mohelnice, Gen. Svobody 2 - Elektroinstalace na budově II</t>
  </si>
  <si>
    <t>Střední škola sociální péče a služeb, Zábřeh, nám. 8. května 2 - Oprava budovy praktického vyučování</t>
  </si>
  <si>
    <t>PPP a SPC Olomouckého kraje - zvýšení kvality služeb a kapacity centra - PPP Olomouc, U Sportovní haly 1a</t>
  </si>
  <si>
    <t>PPP a SPC Olomouckého kraje - zvýšení kvality služeb a kapacity centra - SPC Olomouc, 17. listopadu 43</t>
  </si>
  <si>
    <t>Hotelová škola Vincenze Priessnitze a Obchodní akademie Jeseník - Odizolování obvodu  budovy "Staré školy"</t>
  </si>
  <si>
    <t>Střední škola zemědělská a zahradnická, Olomouc, U Hradiska 4 - Rekonstrukce toalet</t>
  </si>
  <si>
    <t>Dětský domov a Školní jídelna, Plumlov - REÚO budov č.p. 333 a č.p. 200</t>
  </si>
  <si>
    <t>Střední zdravotnická škola a Vyšší odborná škola zdravotnická Emanuela Pöttinga a Jazyková škola s právem státní jazykové zkoušky Olomouc - kotelna v objektu školy</t>
  </si>
  <si>
    <t>Střední škola sociální péče a služeb, Zábřeh, nám. 8. května 2 - Rekonstrukce plynové kotelny</t>
  </si>
  <si>
    <t>Střední škola zemědělská a zahradnická, Olomouc, U Hradiska 4 - Rekonstrukce kotelny DM</t>
  </si>
  <si>
    <t>Střední škola, Základní škola, Mateřská škola a Dětský domov Zábřeh - Rekonstrukce elektroinstalací budov</t>
  </si>
  <si>
    <t>Střední škola řemesel, Šumperk - Rekonstrukce kotelen SŠŘ Šumperk - OP 03, 14, 15</t>
  </si>
  <si>
    <t>Střední škola, Základní škola a Mateřská škola Šumperk, Hanácká 3 - výměna dřevěného trámového stropu ve 2. NP</t>
  </si>
  <si>
    <t xml:space="preserve">Dětský domov a Školní jídelna, Jeseník - Zateplení střechy a výměna střešní krytiny </t>
  </si>
  <si>
    <t xml:space="preserve">Střední škola zemědělská, Přerov - rekonstrukce gastroprovozu </t>
  </si>
  <si>
    <t xml:space="preserve">Střední škola gastronomie a služeb, Přerov - rekonstrukce gastroprovozu </t>
  </si>
  <si>
    <t xml:space="preserve">Střední škola polytechnická, Olomouc - rekonstrukce gastroprovozu </t>
  </si>
  <si>
    <t xml:space="preserve">Střední průmyslová škola Jeseník - rekonstrukce gastroprovozu </t>
  </si>
  <si>
    <t>SŠ, ZŠ a MŠ prof. V. Vejdovského Olomouc - Hejčín - rekonstrukce budovy Tomkova 40</t>
  </si>
  <si>
    <t>Střední lesnická škola, Hranice - kotelna DM Jungmannova</t>
  </si>
  <si>
    <t>Domov seniorů Prostějov - Modernizace sociálních zařízení</t>
  </si>
  <si>
    <t>Domov Na zámečku Rokytnice - Výměna elektroinstalace v objektu zámku</t>
  </si>
  <si>
    <t>Domov pro seniory Červenka - Vybudování šaten pro zaměstnance</t>
  </si>
  <si>
    <t>Klíč - centrum sociálních služeb, příspěvková organizace - Sociální zařízení a elektroinstalace</t>
  </si>
  <si>
    <t>Sociální služby pro seniory Šumperk, příspěvková organizace - Prádelna</t>
  </si>
  <si>
    <t>Centrum Dominika Kokory, příspěvková organizace - Celková rekonstrukce plynofikovaných NTK - Dřevohostice</t>
  </si>
  <si>
    <t>Domov Sněženka Jeseník - Vybudování 6 nových pokojů - 2. etapa</t>
  </si>
  <si>
    <t>Středisko sociální prevence Olomouc - pobočka Přerov</t>
  </si>
  <si>
    <t>Sociální služby pro seniory Šumperk - Výměna rozvodů v budovách SSS</t>
  </si>
  <si>
    <t>Sociální služby pro seniory Šumperk - kotelna</t>
  </si>
  <si>
    <t xml:space="preserve">Domov Na Zámečku Rokytnice - parkoviště </t>
  </si>
  <si>
    <t>Domov pro seniory Červenka - Dobudování EPS s napojením na CPO - objekt Červenka</t>
  </si>
  <si>
    <t>Domov pro seniory Červenka - Dobudování EPS s napojením na CPO - objekt Litovel</t>
  </si>
  <si>
    <t>Dům seniorů FRANTIŠEK Náměšť na Hané - Dobudování EPS s napojením na CPO</t>
  </si>
  <si>
    <t>Domov Hrubá Voda - Dobudování EPS s napojením na CPO</t>
  </si>
  <si>
    <t>Sociální služby pro seniory Olomouc - Dobudování EPS s napojením na CPO</t>
  </si>
  <si>
    <t>Domov "Na Zámku" - Dobudování EPS s napojením na CPO</t>
  </si>
  <si>
    <t>Domov pro seniory Tovačov - Dobudování EPS s napojením na CPO</t>
  </si>
  <si>
    <t xml:space="preserve">Domov seniorů POHODA Chválkovice - Dobudování EPS s napojením na PCO    </t>
  </si>
  <si>
    <t xml:space="preserve">Domov pro seniory Radkova Lhota - Dobudování EPS s napojením na PCO a elektroinstalace                </t>
  </si>
  <si>
    <t xml:space="preserve">Centrum sociálních služeb Prostějov - Dobudování EPS s napojením na PCO            </t>
  </si>
  <si>
    <t xml:space="preserve">Centrum Dominika Kokory - Dobudování EPS s napojením na PCO - budova Kokory  </t>
  </si>
  <si>
    <t xml:space="preserve">Centrum Dominika Kokory - Dobudování EPS s napojením na PCO - budova Dřevohostice    </t>
  </si>
  <si>
    <t xml:space="preserve">Vincentinum - poskytovatel sociálních služeb Šternberk - Dobudování EPS s napojením na PCO      </t>
  </si>
  <si>
    <t xml:space="preserve">Domov Sněženka Jeseník - Dobudování EPS s napojením na PCO          </t>
  </si>
  <si>
    <t>Sociální služby pro seniory Šumperk - Dobudování EPS s napojením na PCO</t>
  </si>
  <si>
    <t>Sociální služby pro seniory Šumperk - FVE</t>
  </si>
  <si>
    <t>Domov seniorů Prostějov - FVE</t>
  </si>
  <si>
    <t>Sociální služby pro seniory Olomouc - FVE</t>
  </si>
  <si>
    <t>Domov seniorů POHODA Chválkovice - FVE</t>
  </si>
  <si>
    <t>Domov pro seniory Jesenec - Dobudování EPS s napojením na PCO</t>
  </si>
  <si>
    <t>Muzeum Komenského v Přerově - stavební úpravy depozitáře knihovny v budově Horní nám.č.35, Přerov</t>
  </si>
  <si>
    <t>Muzeum Komenského v Přerově - Záchrana a zpřístupnění paláce na hradě Helfštýn</t>
  </si>
  <si>
    <t>Muzeum a galerie v Prostějově - Hvězdárna</t>
  </si>
  <si>
    <t>Vlastivědné muzeum Olomouc - odstranění vlhkosti</t>
  </si>
  <si>
    <t xml:space="preserve">Muzeum Komenského v Přerově - Revitalizace a tvorba nových expozic a výstavních prostor na zámku v Přerově </t>
  </si>
  <si>
    <t xml:space="preserve">Vlastivědné muzeum Olomouc - sanace klenby kostela </t>
  </si>
  <si>
    <t>Muzeum zdraví</t>
  </si>
  <si>
    <t>Vlastivědné muzeum v Olomouci - vybudování nových WC</t>
  </si>
  <si>
    <t>II/488 Olomouc - přeložka silnice - II. etapa</t>
  </si>
  <si>
    <t>Olomoucký kraj - Bezpečné školy v Olomouckém kraji 2020</t>
  </si>
  <si>
    <t>II/366 Prostějov - přeložka silnice - 2. etapa</t>
  </si>
  <si>
    <t>Cyklostezky Olomouckého kraje - Přeložka Cyklostezky Bečva</t>
  </si>
  <si>
    <t>Cyklostezky Olomouckého kraje - Moravská stezka, úsek 10.1 Hanušovice - Bohdíkov</t>
  </si>
  <si>
    <t>b/ akce zajišťované Správou silnic Olomouckého kraje a KIDSOK</t>
  </si>
  <si>
    <t>SMN a. s. - o. z. Nemocnice Šternberk - Parkovací plochy</t>
  </si>
  <si>
    <t>SMN a.s. - o.z. Nemocnice Šternberk - stavební úpravy budovy SVLS</t>
  </si>
  <si>
    <t>AGEL SMN a.s. - o.z. Nemocnice Přerov - sanace terasy budovy H</t>
  </si>
  <si>
    <t>AGEL SMN a.s. - o.z. Nemocnice Prostějov - ČOV</t>
  </si>
  <si>
    <t>AGEL SMN a.s. - o.z. Nemocnice Přerov - rekonstrukce pokojů pavilonu CH</t>
  </si>
  <si>
    <t>AGEL SMN a.s. - o.z. Nemocnice Přerov - výměna oken ředitelství</t>
  </si>
  <si>
    <t xml:space="preserve">AGEL SMN a.s. - o.z. Nemocnice Šternberk - přistávací plocha LZS </t>
  </si>
  <si>
    <t>AGEL SMN a.s. - o.z. Nemocnice Přerov - výměna dveří a změna dispozic JIP pavilonu G</t>
  </si>
  <si>
    <t>AGEL SMN a.s. - o.z. Nemocnice Prostějov - výměna oken a dveří v objektu dílen a dispečinku</t>
  </si>
  <si>
    <t>AGEL SMN a.s. - o.z. Nemocnice Přerov - výměna střešního pláště pavilonu E</t>
  </si>
  <si>
    <t>AGEL SMN a.s. - o.z. Nemocnice Prostějov - Infekční klinika</t>
  </si>
  <si>
    <t>Centrum bezpečí v Olomouci</t>
  </si>
  <si>
    <t>Hanácká kasárna</t>
  </si>
  <si>
    <t xml:space="preserve">Rekonstrukce budovy KÚOK </t>
  </si>
  <si>
    <t xml:space="preserve">Realizace energeticky úsporných opatření - SPŠ Hranice </t>
  </si>
  <si>
    <t>Střední škola řezbářská, Tovačov, Nádražní 146 - Centrum odborné přípravy pro obory řezbářství</t>
  </si>
  <si>
    <t>Střední škola technická a obchodní, Olomouc, Kosinova 4 - Centrum odborné přípravy technických oborů (COPTO)</t>
  </si>
  <si>
    <t>REÚO - Střední průmyslová škola elektrotechniky a informatiky Mohelnice - budovy internátu a jídelna - A) ZATEPLENÍ</t>
  </si>
  <si>
    <t>Střední škola gastronomie, farmářství a služeb Jeseník - rekonstrukce vytápění areálu Heřmanice</t>
  </si>
  <si>
    <t>Základní škola Šternberk, Olomoucká 76 - Zateplení budovy a instalace řízeného větrání - a) zateplení</t>
  </si>
  <si>
    <t>Střední škola technická Mohelnice - Výstavba nových dílen</t>
  </si>
  <si>
    <t>Základní škola Šternberk, Olomoucká 76 - Zateplení budovy a instalace řízeného větrání - b) vzduchotechnika</t>
  </si>
  <si>
    <t>Střední škola logistiky a chemie, Olomouc, U Hradiska 29 - Rekonstrukce dvou odborných učeben - laboratoře pro výuku oboru Aplikovaná chemie</t>
  </si>
  <si>
    <t>REÚO - SPŠ Hranice - Internát</t>
  </si>
  <si>
    <t>Střední lesnická škola, Hranice - rekonstrukce kotelny školního polesí</t>
  </si>
  <si>
    <t>Gymnázium Uničov - Novostavba venkovní učebny</t>
  </si>
  <si>
    <t>Základní škola Uničov - Venkovní multismyslová učebna</t>
  </si>
  <si>
    <t>Základní škola Uničov - Učebny pro ergoterapii a multismyslovou výchovu</t>
  </si>
  <si>
    <t>Střední škola gastronomie, farmářství a služeb Jeseník - Odborné zázemí pro obor včelař</t>
  </si>
  <si>
    <t>Vybudování odborných učeben pro podporu přírodovědného vzdělání na Gymnáziu Hranice</t>
  </si>
  <si>
    <t>Odborné učebny pro 4. průmyslovou revoluci na SŠE Lipník nad Bečvou</t>
  </si>
  <si>
    <t>SŠ, ZŠ a MŠ prof. V.Vejdovského Olomouc-Hejčín - Rekonstrukce a vybavení učeben informatiky</t>
  </si>
  <si>
    <t>Klíč - centrum sociálních služeb - rekonstrukce denního stacionáře Domino, Selské náměstí</t>
  </si>
  <si>
    <t xml:space="preserve">Transformace příspěvkové organizace Nové Zámky - poskytovatel sociálních služeb - IV.etapa - novostavba RD Zábřeh, ul. Havlíčkova </t>
  </si>
  <si>
    <t>Domov pro seniory Červenka - nový pavilon</t>
  </si>
  <si>
    <t>Transformace příspěvkové organizace Nové Zámky - poskytovatel sociálních služeb - objekt Senice na Hané</t>
  </si>
  <si>
    <t>Transformace příspěvkové organizace Domov "Na Zámku" Nezamyslice - objekt Němčice nad Hanou</t>
  </si>
  <si>
    <t xml:space="preserve">Transformace příspěvkové organizace Domov Na zámečku Rokytnice - objekt Přerov, Pod Skalkou </t>
  </si>
  <si>
    <t xml:space="preserve">Transformace příspěvkové organizace Nové Zámky - poskytovatel sociálních služeb - objekt Slatinice </t>
  </si>
  <si>
    <t xml:space="preserve">Transformace příspěvkové organizace Vincentinum - poskytovatel sociálních služeb Šternberk - objekt Střelice </t>
  </si>
  <si>
    <t>Centrum sociálních služeb Prostějov - Domov sester</t>
  </si>
  <si>
    <t>Transformace příspěvkové organizace Domov Větrný mlýn Skalička - objekt Hranice, Jurikova</t>
  </si>
  <si>
    <t>Transformace příspěvkové organizace Domov Na zámečku Rokytnice - objekt Lipník nad Bečvou, Tyršova</t>
  </si>
  <si>
    <t>Transformace příspěvkové organizace Centrum Dominika Kokory - objekt Dřevohostice, Sadová č.p. 439</t>
  </si>
  <si>
    <t>Klíč - centrum sociálních služeb - Rekonstrukce budovy Selské náměstí, Olomouc</t>
  </si>
  <si>
    <t>Podpora sociální práce, sociálních služeb a neformálně pečujících na území Olomouckého kraje</t>
  </si>
  <si>
    <t>Příspěvky na obědy do škol v Olomouckém kraji</t>
  </si>
  <si>
    <t>Vlastivědné muzeum v Olomouci - Revitalizace vodních prvků v zámeckém parku Čechy pod Kosířem</t>
  </si>
  <si>
    <t>Vlastivědné muzeum v Olomouci - Zámek Čechy pod Kosířem - rekonstrukce a využití objektů, VI. etapa</t>
  </si>
  <si>
    <t>SMN a.s. - o.z. Nemocnice Přerov - Instalace fotovoltaických panelů - 1. etapa</t>
  </si>
  <si>
    <t>SMN a.s. - o.z. Nemocnice Prostějov - zateplení budovy LDN</t>
  </si>
  <si>
    <t>SMN a.s. - o.z. Nemocnice Přerov - Instalace fotovoltaických panelů -2. etapa</t>
  </si>
  <si>
    <t>SMN a.s. - o.z. Nemocnice Přerov - urgentní příjem</t>
  </si>
  <si>
    <t>SMN a.s. - o.z. Nemocnice Prostějov - urgentní příjem</t>
  </si>
  <si>
    <t>SMN a.s. - o.z. Nemocnice Šternberk - urgentní příjem</t>
  </si>
  <si>
    <t>SMN a.s. - o.z. Nemocnice Šternberk - Magnetická rezonance - b) vzduchotechnika</t>
  </si>
  <si>
    <t>AGEL SMN a.s. - o.z. Nemocnice Přerov - zateplení transfuzní stanice (včetně lékárny)</t>
  </si>
  <si>
    <t>Odborný léčebný ústav, Paseka - Modernizace pavilonu C</t>
  </si>
  <si>
    <t>ZZS OK - Obnova vozového parku</t>
  </si>
  <si>
    <t>ZZS OK - Obnova vozového parku II. etapa</t>
  </si>
  <si>
    <t>Hospodaření se srážkovými vodami v intravilánu příspěvkových organizací Olomouckého kraje IV.</t>
  </si>
  <si>
    <t>Hospodaření se srážkovými vodami v intravilánu příspěvkových organizací Olomouckého kraje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</si>
</sst>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 CE"/>
      <family val="2"/>
      <charset val="238"/>
    </font>
    <font>
      <b/>
      <i/>
      <sz val="11"/>
      <name val="Arial"/>
      <family val="2"/>
      <charset val="238"/>
    </font>
    <font>
      <b/>
      <i/>
      <u/>
      <sz val="11"/>
      <name val="Arial"/>
      <family val="2"/>
      <charset val="238"/>
    </font>
    <font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i/>
      <sz val="9"/>
      <name val="Arial"/>
      <family val="2"/>
      <charset val="238"/>
    </font>
    <font>
      <sz val="11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0"/>
      <color rgb="FF7030A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rgb="FF00B0F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color rgb="FF7030A0"/>
      <name val="Arial"/>
      <family val="2"/>
      <charset val="238"/>
    </font>
    <font>
      <b/>
      <i/>
      <sz val="10"/>
      <color rgb="FF00B0F0"/>
      <name val="Arial"/>
      <family val="2"/>
      <charset val="238"/>
    </font>
    <font>
      <b/>
      <i/>
      <sz val="10"/>
      <color rgb="FF00B050"/>
      <name val="Arial"/>
      <family val="2"/>
      <charset val="238"/>
    </font>
    <font>
      <b/>
      <sz val="10"/>
      <color theme="9"/>
      <name val="Arial"/>
      <family val="2"/>
      <charset val="238"/>
    </font>
    <font>
      <b/>
      <sz val="10"/>
      <color rgb="FFFFC000"/>
      <name val="Arial"/>
      <family val="2"/>
      <charset val="238"/>
    </font>
    <font>
      <b/>
      <i/>
      <sz val="10"/>
      <color rgb="FFFFC000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sz val="10"/>
      <color theme="3"/>
      <name val="Arial"/>
      <family val="2"/>
      <charset val="238"/>
    </font>
    <font>
      <b/>
      <i/>
      <sz val="10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i/>
      <sz val="10"/>
      <color theme="4" tint="-0.499984740745262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0"/>
      <color theme="3" tint="-0.499984740745262"/>
      <name val="Arial"/>
      <family val="2"/>
      <charset val="238"/>
    </font>
    <font>
      <b/>
      <sz val="10"/>
      <color theme="3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sz val="10"/>
      <color theme="3" tint="-0.499984740745262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i/>
      <sz val="10"/>
      <color rgb="FFFFFF00"/>
      <name val="Arial"/>
      <family val="2"/>
      <charset val="238"/>
    </font>
    <font>
      <b/>
      <i/>
      <sz val="10"/>
      <color rgb="FF0070C0"/>
      <name val="Arial"/>
      <family val="2"/>
      <charset val="238"/>
    </font>
    <font>
      <b/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0"/>
      <color theme="7" tint="-0.249977111117893"/>
      <name val="Arial"/>
      <family val="2"/>
      <charset val="238"/>
    </font>
    <font>
      <b/>
      <sz val="10"/>
      <color theme="6" tint="-0.49998474074526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66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4" fillId="0" borderId="0" xfId="1" applyAlignment="1">
      <alignment horizontal="right"/>
    </xf>
    <xf numFmtId="4" fontId="4" fillId="0" borderId="0" xfId="1" applyNumberFormat="1"/>
    <xf numFmtId="0" fontId="4" fillId="0" borderId="0" xfId="1"/>
    <xf numFmtId="0" fontId="7" fillId="0" borderId="0" xfId="1" applyFont="1"/>
    <xf numFmtId="0" fontId="4" fillId="0" borderId="0" xfId="1" applyBorder="1"/>
    <xf numFmtId="0" fontId="7" fillId="0" borderId="14" xfId="1" applyFont="1" applyBorder="1"/>
    <xf numFmtId="0" fontId="4" fillId="0" borderId="14" xfId="1" applyBorder="1"/>
    <xf numFmtId="0" fontId="4" fillId="0" borderId="14" xfId="1" applyBorder="1" applyAlignment="1">
      <alignment horizontal="right"/>
    </xf>
    <xf numFmtId="0" fontId="4" fillId="0" borderId="7" xfId="1" applyBorder="1"/>
    <xf numFmtId="4" fontId="19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4" fontId="6" fillId="0" borderId="16" xfId="1" applyNumberFormat="1" applyFont="1" applyFill="1" applyBorder="1" applyAlignment="1">
      <alignment horizontal="center" vertical="center"/>
    </xf>
    <xf numFmtId="0" fontId="3" fillId="0" borderId="15" xfId="1" applyFont="1" applyBorder="1"/>
    <xf numFmtId="4" fontId="4" fillId="0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4" fontId="4" fillId="0" borderId="0" xfId="1" applyNumberFormat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left"/>
    </xf>
    <xf numFmtId="4" fontId="3" fillId="0" borderId="1" xfId="1" applyNumberFormat="1" applyFont="1" applyBorder="1"/>
    <xf numFmtId="4" fontId="3" fillId="0" borderId="0" xfId="1" applyNumberFormat="1" applyFont="1" applyBorder="1"/>
    <xf numFmtId="0" fontId="4" fillId="0" borderId="0" xfId="1" applyFont="1"/>
    <xf numFmtId="0" fontId="9" fillId="0" borderId="0" xfId="1" applyFont="1" applyBorder="1" applyAlignment="1">
      <alignment horizontal="left"/>
    </xf>
    <xf numFmtId="0" fontId="17" fillId="0" borderId="15" xfId="1" applyFont="1" applyBorder="1" applyAlignment="1">
      <alignment horizontal="left"/>
    </xf>
    <xf numFmtId="4" fontId="17" fillId="0" borderId="4" xfId="1" applyNumberFormat="1" applyFont="1" applyBorder="1"/>
    <xf numFmtId="0" fontId="17" fillId="0" borderId="0" xfId="1" applyFont="1"/>
    <xf numFmtId="0" fontId="20" fillId="0" borderId="0" xfId="1" applyFont="1"/>
    <xf numFmtId="0" fontId="21" fillId="0" borderId="0" xfId="1" applyFont="1"/>
    <xf numFmtId="0" fontId="7" fillId="0" borderId="0" xfId="1" applyFont="1" applyFill="1" applyAlignment="1">
      <alignment horizontal="left"/>
    </xf>
    <xf numFmtId="0" fontId="22" fillId="0" borderId="0" xfId="1" applyFont="1" applyFill="1"/>
    <xf numFmtId="4" fontId="22" fillId="0" borderId="0" xfId="1" applyNumberFormat="1" applyFont="1" applyFill="1"/>
    <xf numFmtId="0" fontId="4" fillId="0" borderId="0" xfId="1" applyFill="1"/>
    <xf numFmtId="0" fontId="3" fillId="0" borderId="0" xfId="1" applyFont="1" applyFill="1" applyAlignment="1">
      <alignment horizontal="left"/>
    </xf>
    <xf numFmtId="0" fontId="6" fillId="0" borderId="0" xfId="1" applyFont="1" applyFill="1" applyAlignment="1">
      <alignment horizontal="left"/>
    </xf>
    <xf numFmtId="0" fontId="4" fillId="0" borderId="0" xfId="1" applyFont="1" applyFill="1"/>
    <xf numFmtId="0" fontId="7" fillId="0" borderId="0" xfId="1" applyFont="1" applyFill="1" applyBorder="1" applyAlignment="1">
      <alignment horizontal="left"/>
    </xf>
    <xf numFmtId="0" fontId="5" fillId="0" borderId="0" xfId="1" applyFont="1" applyFill="1" applyAlignment="1">
      <alignment horizontal="left"/>
    </xf>
    <xf numFmtId="0" fontId="22" fillId="0" borderId="0" xfId="1" applyFont="1"/>
    <xf numFmtId="0" fontId="9" fillId="0" borderId="0" xfId="1" applyFont="1" applyFill="1" applyAlignment="1">
      <alignment horizontal="left"/>
    </xf>
    <xf numFmtId="0" fontId="4" fillId="0" borderId="0" xfId="1" applyFont="1" applyFill="1" applyAlignment="1">
      <alignment horizontal="right"/>
    </xf>
    <xf numFmtId="0" fontId="8" fillId="0" borderId="7" xfId="1" applyFont="1" applyFill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center" vertical="center" wrapText="1"/>
    </xf>
    <xf numFmtId="0" fontId="4" fillId="0" borderId="2" xfId="1" applyFill="1" applyBorder="1" applyAlignment="1">
      <alignment horizontal="center" vertical="center"/>
    </xf>
    <xf numFmtId="4" fontId="4" fillId="0" borderId="1" xfId="1" applyNumberFormat="1" applyFill="1" applyBorder="1" applyAlignment="1">
      <alignment horizontal="center" vertical="center"/>
    </xf>
    <xf numFmtId="0" fontId="4" fillId="0" borderId="3" xfId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left" vertical="center"/>
    </xf>
    <xf numFmtId="4" fontId="9" fillId="0" borderId="4" xfId="1" applyNumberFormat="1" applyFont="1" applyFill="1" applyBorder="1" applyAlignment="1">
      <alignment horizontal="right" vertical="center"/>
    </xf>
    <xf numFmtId="4" fontId="11" fillId="2" borderId="0" xfId="1" applyNumberFormat="1" applyFont="1" applyFill="1" applyBorder="1" applyAlignment="1">
      <alignment horizontal="right" vertical="center"/>
    </xf>
    <xf numFmtId="4" fontId="10" fillId="2" borderId="0" xfId="1" applyNumberFormat="1" applyFont="1" applyFill="1" applyBorder="1" applyAlignment="1">
      <alignment vertical="center"/>
    </xf>
    <xf numFmtId="164" fontId="10" fillId="0" borderId="0" xfId="1" applyNumberFormat="1" applyFont="1" applyFill="1" applyBorder="1" applyAlignment="1">
      <alignment vertical="center"/>
    </xf>
    <xf numFmtId="0" fontId="22" fillId="0" borderId="0" xfId="1" applyFont="1" applyBorder="1" applyAlignment="1">
      <alignment vertical="center"/>
    </xf>
    <xf numFmtId="0" fontId="4" fillId="0" borderId="0" xfId="1" applyBorder="1" applyAlignment="1">
      <alignment vertical="center"/>
    </xf>
    <xf numFmtId="3" fontId="11" fillId="2" borderId="0" xfId="1" applyNumberFormat="1" applyFont="1" applyFill="1" applyBorder="1" applyAlignment="1">
      <alignment horizontal="right" vertical="center"/>
    </xf>
    <xf numFmtId="0" fontId="22" fillId="0" borderId="0" xfId="1" applyFont="1" applyBorder="1"/>
    <xf numFmtId="0" fontId="9" fillId="2" borderId="0" xfId="1" applyFont="1" applyFill="1" applyBorder="1" applyAlignment="1">
      <alignment horizontal="left" vertical="center"/>
    </xf>
    <xf numFmtId="164" fontId="12" fillId="0" borderId="5" xfId="1" applyNumberFormat="1" applyFont="1" applyFill="1" applyBorder="1" applyAlignment="1">
      <alignment vertical="center"/>
    </xf>
    <xf numFmtId="0" fontId="23" fillId="0" borderId="0" xfId="1" applyFont="1"/>
    <xf numFmtId="0" fontId="10" fillId="0" borderId="0" xfId="1" applyFont="1"/>
    <xf numFmtId="0" fontId="8" fillId="2" borderId="0" xfId="1" applyFont="1" applyFill="1" applyBorder="1" applyAlignment="1">
      <alignment vertical="center" wrapText="1"/>
    </xf>
    <xf numFmtId="0" fontId="7" fillId="2" borderId="8" xfId="1" applyFont="1" applyFill="1" applyBorder="1" applyAlignment="1">
      <alignment vertical="center" wrapText="1"/>
    </xf>
    <xf numFmtId="4" fontId="3" fillId="2" borderId="8" xfId="1" applyNumberFormat="1" applyFont="1" applyFill="1" applyBorder="1" applyAlignment="1">
      <alignment vertical="center"/>
    </xf>
    <xf numFmtId="164" fontId="15" fillId="0" borderId="8" xfId="1" applyNumberFormat="1" applyFont="1" applyFill="1" applyBorder="1" applyAlignment="1">
      <alignment vertical="center"/>
    </xf>
    <xf numFmtId="0" fontId="24" fillId="0" borderId="0" xfId="1" applyFont="1"/>
    <xf numFmtId="0" fontId="10" fillId="0" borderId="0" xfId="1" applyFont="1" applyBorder="1"/>
    <xf numFmtId="4" fontId="10" fillId="0" borderId="0" xfId="1" applyNumberFormat="1" applyFont="1" applyBorder="1"/>
    <xf numFmtId="4" fontId="9" fillId="0" borderId="13" xfId="1" applyNumberFormat="1" applyFont="1" applyFill="1" applyBorder="1" applyAlignment="1">
      <alignment horizontal="right" vertical="center"/>
    </xf>
    <xf numFmtId="4" fontId="10" fillId="0" borderId="0" xfId="1" applyNumberFormat="1" applyFont="1" applyFill="1" applyBorder="1" applyAlignment="1">
      <alignment horizontal="right"/>
    </xf>
    <xf numFmtId="0" fontId="13" fillId="0" borderId="0" xfId="1" applyFont="1" applyFill="1" applyBorder="1" applyAlignment="1">
      <alignment horizontal="left"/>
    </xf>
    <xf numFmtId="0" fontId="14" fillId="0" borderId="0" xfId="1" applyFont="1" applyFill="1" applyBorder="1"/>
    <xf numFmtId="0" fontId="14" fillId="0" borderId="0" xfId="1" applyFont="1" applyFill="1" applyBorder="1" applyAlignment="1">
      <alignment horizontal="left"/>
    </xf>
    <xf numFmtId="4" fontId="10" fillId="0" borderId="0" xfId="1" applyNumberFormat="1" applyFont="1" applyFill="1" applyBorder="1"/>
    <xf numFmtId="164" fontId="14" fillId="0" borderId="0" xfId="1" applyNumberFormat="1" applyFont="1" applyFill="1" applyBorder="1"/>
    <xf numFmtId="0" fontId="15" fillId="0" borderId="8" xfId="1" applyFont="1" applyFill="1" applyBorder="1" applyAlignment="1">
      <alignment horizontal="left"/>
    </xf>
    <xf numFmtId="4" fontId="12" fillId="0" borderId="8" xfId="1" applyNumberFormat="1" applyFont="1" applyFill="1" applyBorder="1"/>
    <xf numFmtId="164" fontId="12" fillId="0" borderId="8" xfId="1" applyNumberFormat="1" applyFont="1" applyFill="1" applyBorder="1"/>
    <xf numFmtId="164" fontId="9" fillId="0" borderId="5" xfId="1" applyNumberFormat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4" fillId="2" borderId="0" xfId="1" applyFill="1"/>
    <xf numFmtId="0" fontId="4" fillId="0" borderId="0" xfId="1" applyFont="1" applyFill="1" applyAlignment="1">
      <alignment horizontal="left" vertical="center"/>
    </xf>
    <xf numFmtId="0" fontId="5" fillId="0" borderId="0" xfId="1" applyFont="1" applyFill="1" applyBorder="1" applyAlignment="1">
      <alignment horizontal="left"/>
    </xf>
    <xf numFmtId="0" fontId="10" fillId="0" borderId="0" xfId="1" applyFont="1" applyFill="1" applyAlignment="1">
      <alignment horizontal="left"/>
    </xf>
    <xf numFmtId="3" fontId="10" fillId="0" borderId="0" xfId="1" applyNumberFormat="1" applyFont="1" applyFill="1" applyBorder="1" applyAlignment="1">
      <alignment horizontal="left"/>
    </xf>
    <xf numFmtId="0" fontId="4" fillId="0" borderId="0" xfId="1" applyFont="1" applyFill="1" applyAlignment="1">
      <alignment horizontal="left"/>
    </xf>
    <xf numFmtId="0" fontId="18" fillId="0" borderId="0" xfId="1" applyFont="1" applyFill="1" applyAlignment="1">
      <alignment horizontal="left"/>
    </xf>
    <xf numFmtId="0" fontId="22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3" fontId="10" fillId="0" borderId="0" xfId="1" applyNumberFormat="1" applyFont="1" applyFill="1" applyBorder="1" applyAlignment="1">
      <alignment horizontal="left" vertical="center"/>
    </xf>
    <xf numFmtId="3" fontId="4" fillId="0" borderId="0" xfId="1" applyNumberFormat="1" applyFont="1" applyFill="1" applyAlignment="1">
      <alignment horizontal="left"/>
    </xf>
    <xf numFmtId="0" fontId="4" fillId="0" borderId="0" xfId="1" applyFont="1" applyAlignment="1">
      <alignment horizontal="left"/>
    </xf>
    <xf numFmtId="4" fontId="25" fillId="0" borderId="0" xfId="1" applyNumberFormat="1" applyFont="1" applyBorder="1"/>
    <xf numFmtId="0" fontId="10" fillId="0" borderId="0" xfId="1" applyFont="1" applyFill="1" applyAlignment="1">
      <alignment horizontal="left" vertical="center"/>
    </xf>
    <xf numFmtId="0" fontId="23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26" fillId="0" borderId="0" xfId="1" applyFont="1" applyFill="1" applyAlignment="1">
      <alignment horizontal="center"/>
    </xf>
    <xf numFmtId="0" fontId="26" fillId="0" borderId="0" xfId="1" applyFont="1" applyFill="1" applyBorder="1" applyAlignment="1">
      <alignment horizontal="center"/>
    </xf>
    <xf numFmtId="4" fontId="22" fillId="0" borderId="0" xfId="1" applyNumberFormat="1" applyFont="1"/>
    <xf numFmtId="0" fontId="4" fillId="5" borderId="0" xfId="1" applyFont="1" applyFill="1" applyAlignment="1">
      <alignment horizontal="left"/>
    </xf>
    <xf numFmtId="0" fontId="4" fillId="3" borderId="0" xfId="1" applyFont="1" applyFill="1" applyAlignment="1">
      <alignment horizontal="left"/>
    </xf>
    <xf numFmtId="0" fontId="4" fillId="6" borderId="0" xfId="1" applyFont="1" applyFill="1" applyAlignment="1">
      <alignment horizontal="left"/>
    </xf>
    <xf numFmtId="0" fontId="4" fillId="7" borderId="0" xfId="1" applyFont="1" applyFill="1" applyAlignment="1">
      <alignment horizontal="left"/>
    </xf>
    <xf numFmtId="0" fontId="7" fillId="3" borderId="0" xfId="1" applyFont="1" applyFill="1" applyAlignment="1">
      <alignment horizontal="left"/>
    </xf>
    <xf numFmtId="0" fontId="7" fillId="6" borderId="0" xfId="1" applyFont="1" applyFill="1" applyAlignment="1">
      <alignment horizontal="left"/>
    </xf>
    <xf numFmtId="0" fontId="7" fillId="4" borderId="0" xfId="1" applyFont="1" applyFill="1" applyAlignment="1">
      <alignment horizontal="left"/>
    </xf>
    <xf numFmtId="4" fontId="0" fillId="0" borderId="0" xfId="0" applyNumberFormat="1" applyFill="1" applyAlignment="1">
      <alignment horizontal="right"/>
    </xf>
    <xf numFmtId="0" fontId="25" fillId="0" borderId="0" xfId="1" applyFont="1"/>
    <xf numFmtId="0" fontId="29" fillId="0" borderId="0" xfId="1" applyFont="1"/>
    <xf numFmtId="0" fontId="30" fillId="0" borderId="0" xfId="1" applyFont="1"/>
    <xf numFmtId="4" fontId="9" fillId="0" borderId="10" xfId="1" applyNumberFormat="1" applyFont="1" applyFill="1" applyBorder="1" applyAlignment="1">
      <alignment horizontal="right" vertical="center"/>
    </xf>
    <xf numFmtId="0" fontId="10" fillId="2" borderId="0" xfId="3" applyFont="1" applyFill="1" applyBorder="1" applyAlignment="1">
      <alignment vertical="center" wrapText="1"/>
    </xf>
    <xf numFmtId="4" fontId="10" fillId="0" borderId="0" xfId="1" applyNumberFormat="1" applyFont="1" applyFill="1" applyBorder="1" applyAlignment="1">
      <alignment vertical="center"/>
    </xf>
    <xf numFmtId="0" fontId="4" fillId="9" borderId="0" xfId="2" applyNumberFormat="1" applyFont="1" applyFill="1" applyBorder="1" applyAlignment="1">
      <alignment horizontal="center" vertical="center" wrapText="1"/>
    </xf>
    <xf numFmtId="0" fontId="34" fillId="9" borderId="0" xfId="0" applyFont="1" applyFill="1"/>
    <xf numFmtId="49" fontId="2" fillId="0" borderId="0" xfId="1" applyNumberFormat="1" applyFont="1" applyFill="1" applyAlignment="1">
      <alignment horizontal="left"/>
    </xf>
    <xf numFmtId="49" fontId="2" fillId="0" borderId="0" xfId="1" applyNumberFormat="1" applyFont="1" applyFill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4" fontId="9" fillId="0" borderId="0" xfId="0" applyNumberFormat="1" applyFont="1" applyFill="1"/>
    <xf numFmtId="4" fontId="36" fillId="0" borderId="0" xfId="0" applyNumberFormat="1" applyFont="1" applyFill="1"/>
    <xf numFmtId="4" fontId="27" fillId="0" borderId="0" xfId="0" applyNumberFormat="1" applyFont="1" applyFill="1"/>
    <xf numFmtId="0" fontId="35" fillId="0" borderId="0" xfId="1" applyFont="1"/>
    <xf numFmtId="4" fontId="35" fillId="0" borderId="0" xfId="1" applyNumberFormat="1" applyFont="1"/>
    <xf numFmtId="0" fontId="38" fillId="0" borderId="0" xfId="1" applyFont="1"/>
    <xf numFmtId="4" fontId="8" fillId="0" borderId="0" xfId="1" applyNumberFormat="1" applyFon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/>
    </xf>
    <xf numFmtId="4" fontId="4" fillId="0" borderId="0" xfId="1" applyNumberFormat="1" applyFill="1" applyBorder="1" applyAlignment="1">
      <alignment horizontal="center" vertical="center"/>
    </xf>
    <xf numFmtId="4" fontId="10" fillId="0" borderId="9" xfId="1" applyNumberFormat="1" applyFont="1" applyFill="1" applyBorder="1" applyAlignment="1">
      <alignment vertical="center"/>
    </xf>
    <xf numFmtId="164" fontId="10" fillId="0" borderId="6" xfId="1" applyNumberFormat="1" applyFont="1" applyFill="1" applyBorder="1" applyAlignment="1">
      <alignment vertical="center"/>
    </xf>
    <xf numFmtId="4" fontId="10" fillId="0" borderId="14" xfId="1" applyNumberFormat="1" applyFont="1" applyFill="1" applyBorder="1" applyAlignment="1">
      <alignment vertical="center"/>
    </xf>
    <xf numFmtId="4" fontId="10" fillId="0" borderId="4" xfId="1" applyNumberFormat="1" applyFont="1" applyFill="1" applyBorder="1"/>
    <xf numFmtId="4" fontId="10" fillId="0" borderId="9" xfId="1" applyNumberFormat="1" applyFont="1" applyFill="1" applyBorder="1"/>
    <xf numFmtId="1" fontId="10" fillId="0" borderId="0" xfId="1" applyNumberFormat="1" applyFont="1" applyFill="1" applyBorder="1" applyAlignment="1">
      <alignment horizontal="left" vertical="center"/>
    </xf>
    <xf numFmtId="0" fontId="34" fillId="9" borderId="0" xfId="0" applyFont="1" applyFill="1" applyAlignment="1">
      <alignment vertical="center"/>
    </xf>
    <xf numFmtId="4" fontId="36" fillId="10" borderId="0" xfId="0" applyNumberFormat="1" applyFont="1" applyFill="1" applyAlignment="1">
      <alignment vertical="center"/>
    </xf>
    <xf numFmtId="4" fontId="9" fillId="0" borderId="0" xfId="1" applyNumberFormat="1" applyFont="1"/>
    <xf numFmtId="0" fontId="32" fillId="0" borderId="0" xfId="1" applyFont="1"/>
    <xf numFmtId="0" fontId="35" fillId="0" borderId="0" xfId="1" applyFont="1" applyAlignment="1">
      <alignment vertical="center"/>
    </xf>
    <xf numFmtId="0" fontId="39" fillId="0" borderId="0" xfId="1" applyFont="1" applyAlignment="1">
      <alignment vertical="center"/>
    </xf>
    <xf numFmtId="0" fontId="39" fillId="0" borderId="0" xfId="1" applyFont="1"/>
    <xf numFmtId="0" fontId="42" fillId="0" borderId="0" xfId="1" applyFont="1"/>
    <xf numFmtId="0" fontId="7" fillId="2" borderId="0" xfId="1" applyFont="1" applyFill="1" applyBorder="1" applyAlignment="1">
      <alignment vertical="center" wrapText="1"/>
    </xf>
    <xf numFmtId="4" fontId="3" fillId="2" borderId="0" xfId="1" applyNumberFormat="1" applyFont="1" applyFill="1" applyBorder="1" applyAlignment="1">
      <alignment vertical="center"/>
    </xf>
    <xf numFmtId="164" fontId="15" fillId="0" borderId="0" xfId="1" applyNumberFormat="1" applyFont="1" applyFill="1" applyBorder="1" applyAlignment="1">
      <alignment vertical="center"/>
    </xf>
    <xf numFmtId="0" fontId="2" fillId="0" borderId="0" xfId="1" applyFont="1" applyFill="1" applyAlignment="1">
      <alignment horizontal="right"/>
    </xf>
    <xf numFmtId="0" fontId="9" fillId="0" borderId="17" xfId="1" applyFont="1" applyFill="1" applyBorder="1" applyAlignment="1">
      <alignment horizontal="left" vertical="center"/>
    </xf>
    <xf numFmtId="164" fontId="12" fillId="0" borderId="11" xfId="1" applyNumberFormat="1" applyFont="1" applyFill="1" applyBorder="1" applyAlignment="1">
      <alignment vertical="center"/>
    </xf>
    <xf numFmtId="0" fontId="10" fillId="0" borderId="0" xfId="1" applyFont="1" applyFill="1" applyBorder="1"/>
    <xf numFmtId="0" fontId="10" fillId="0" borderId="15" xfId="1" applyFont="1" applyFill="1" applyBorder="1"/>
    <xf numFmtId="4" fontId="10" fillId="0" borderId="5" xfId="1" applyNumberFormat="1" applyFont="1" applyFill="1" applyBorder="1"/>
    <xf numFmtId="0" fontId="3" fillId="0" borderId="15" xfId="1" applyFont="1" applyFill="1" applyBorder="1"/>
    <xf numFmtId="4" fontId="6" fillId="0" borderId="4" xfId="1" applyNumberFormat="1" applyFont="1" applyFill="1" applyBorder="1"/>
    <xf numFmtId="4" fontId="6" fillId="0" borderId="5" xfId="1" applyNumberFormat="1" applyFont="1" applyFill="1" applyBorder="1"/>
    <xf numFmtId="0" fontId="3" fillId="0" borderId="15" xfId="1" applyFont="1" applyFill="1" applyBorder="1" applyAlignment="1">
      <alignment wrapText="1"/>
    </xf>
    <xf numFmtId="4" fontId="6" fillId="0" borderId="4" xfId="1" applyNumberFormat="1" applyFont="1" applyFill="1" applyBorder="1" applyAlignment="1">
      <alignment vertical="center"/>
    </xf>
    <xf numFmtId="0" fontId="17" fillId="0" borderId="15" xfId="1" applyFont="1" applyFill="1" applyBorder="1" applyAlignment="1">
      <alignment horizontal="left"/>
    </xf>
    <xf numFmtId="4" fontId="17" fillId="0" borderId="4" xfId="1" applyNumberFormat="1" applyFont="1" applyFill="1" applyBorder="1"/>
    <xf numFmtId="4" fontId="6" fillId="0" borderId="0" xfId="1" applyNumberFormat="1" applyFont="1" applyFill="1"/>
    <xf numFmtId="4" fontId="27" fillId="0" borderId="0" xfId="1" applyNumberFormat="1" applyFont="1" applyFill="1"/>
    <xf numFmtId="4" fontId="37" fillId="0" borderId="0" xfId="1" applyNumberFormat="1" applyFont="1" applyFill="1"/>
    <xf numFmtId="4" fontId="26" fillId="0" borderId="0" xfId="0" applyNumberFormat="1" applyFont="1" applyFill="1"/>
    <xf numFmtId="4" fontId="6" fillId="0" borderId="0" xfId="1" applyNumberFormat="1" applyFont="1"/>
    <xf numFmtId="4" fontId="6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right"/>
    </xf>
    <xf numFmtId="0" fontId="10" fillId="0" borderId="18" xfId="1" applyFont="1" applyFill="1" applyBorder="1" applyAlignment="1">
      <alignment horizontal="left" vertical="center" wrapText="1"/>
    </xf>
    <xf numFmtId="4" fontId="45" fillId="2" borderId="0" xfId="1" applyNumberFormat="1" applyFont="1" applyFill="1"/>
    <xf numFmtId="4" fontId="40" fillId="2" borderId="0" xfId="1" applyNumberFormat="1" applyFont="1" applyFill="1"/>
    <xf numFmtId="0" fontId="10" fillId="0" borderId="18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center"/>
    </xf>
    <xf numFmtId="0" fontId="4" fillId="0" borderId="14" xfId="1" applyFont="1" applyFill="1" applyBorder="1" applyAlignment="1">
      <alignment horizontal="right"/>
    </xf>
    <xf numFmtId="4" fontId="6" fillId="0" borderId="5" xfId="1" applyNumberFormat="1" applyFont="1" applyFill="1" applyBorder="1" applyAlignment="1">
      <alignment vertical="center"/>
    </xf>
    <xf numFmtId="4" fontId="22" fillId="0" borderId="0" xfId="1" applyNumberFormat="1" applyFont="1" applyFill="1" applyAlignment="1">
      <alignment vertical="center"/>
    </xf>
    <xf numFmtId="4" fontId="10" fillId="0" borderId="0" xfId="1" applyNumberFormat="1" applyFont="1" applyAlignment="1">
      <alignment vertical="center"/>
    </xf>
    <xf numFmtId="0" fontId="10" fillId="0" borderId="0" xfId="1" applyFont="1" applyFill="1" applyBorder="1" applyAlignment="1">
      <alignment horizontal="left" vertical="center" wrapText="1"/>
    </xf>
    <xf numFmtId="4" fontId="10" fillId="0" borderId="0" xfId="1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vertical="top"/>
    </xf>
    <xf numFmtId="4" fontId="27" fillId="0" borderId="0" xfId="0" applyNumberFormat="1" applyFont="1" applyFill="1" applyAlignment="1">
      <alignment vertical="top"/>
    </xf>
    <xf numFmtId="0" fontId="32" fillId="0" borderId="0" xfId="1" applyFont="1" applyBorder="1"/>
    <xf numFmtId="4" fontId="2" fillId="0" borderId="0" xfId="1" applyNumberFormat="1" applyFont="1"/>
    <xf numFmtId="0" fontId="4" fillId="8" borderId="0" xfId="1" applyFont="1" applyFill="1" applyAlignment="1">
      <alignment horizontal="left"/>
    </xf>
    <xf numFmtId="0" fontId="34" fillId="8" borderId="0" xfId="0" applyFont="1" applyFill="1"/>
    <xf numFmtId="4" fontId="22" fillId="8" borderId="0" xfId="1" applyNumberFormat="1" applyFont="1" applyFill="1"/>
    <xf numFmtId="0" fontId="4" fillId="8" borderId="0" xfId="1" applyFill="1"/>
    <xf numFmtId="0" fontId="22" fillId="8" borderId="0" xfId="1" applyFont="1" applyFill="1"/>
    <xf numFmtId="0" fontId="4" fillId="8" borderId="0" xfId="1" applyFont="1" applyFill="1"/>
    <xf numFmtId="0" fontId="4" fillId="8" borderId="0" xfId="1" applyFont="1" applyFill="1" applyAlignment="1">
      <alignment horizontal="left" vertical="center"/>
    </xf>
    <xf numFmtId="0" fontId="8" fillId="8" borderId="7" xfId="1" applyFont="1" applyFill="1" applyBorder="1" applyAlignment="1">
      <alignment horizontal="center" vertical="center"/>
    </xf>
    <xf numFmtId="4" fontId="8" fillId="8" borderId="1" xfId="1" applyNumberFormat="1" applyFont="1" applyFill="1" applyBorder="1" applyAlignment="1">
      <alignment horizontal="center" vertical="center" wrapText="1"/>
    </xf>
    <xf numFmtId="0" fontId="4" fillId="8" borderId="2" xfId="1" applyFill="1" applyBorder="1" applyAlignment="1">
      <alignment horizontal="center" vertical="center"/>
    </xf>
    <xf numFmtId="4" fontId="4" fillId="8" borderId="1" xfId="1" applyNumberFormat="1" applyFill="1" applyBorder="1" applyAlignment="1">
      <alignment horizontal="center" vertical="center"/>
    </xf>
    <xf numFmtId="0" fontId="4" fillId="8" borderId="3" xfId="1" applyFill="1" applyBorder="1" applyAlignment="1">
      <alignment horizontal="center" vertical="center"/>
    </xf>
    <xf numFmtId="0" fontId="4" fillId="8" borderId="0" xfId="1" applyFill="1" applyBorder="1"/>
    <xf numFmtId="164" fontId="10" fillId="8" borderId="0" xfId="1" applyNumberFormat="1" applyFont="1" applyFill="1" applyBorder="1" applyAlignment="1">
      <alignment vertical="center"/>
    </xf>
    <xf numFmtId="0" fontId="5" fillId="8" borderId="0" xfId="1" applyFont="1" applyFill="1" applyBorder="1" applyAlignment="1">
      <alignment horizontal="left"/>
    </xf>
    <xf numFmtId="0" fontId="22" fillId="8" borderId="0" xfId="1" applyFont="1" applyFill="1" applyBorder="1"/>
    <xf numFmtId="0" fontId="9" fillId="8" borderId="0" xfId="1" applyFont="1" applyFill="1" applyBorder="1" applyAlignment="1">
      <alignment horizontal="left" vertical="center"/>
    </xf>
    <xf numFmtId="0" fontId="2" fillId="8" borderId="0" xfId="1" applyFont="1" applyFill="1" applyAlignment="1">
      <alignment horizontal="right"/>
    </xf>
    <xf numFmtId="0" fontId="9" fillId="8" borderId="17" xfId="1" applyFont="1" applyFill="1" applyBorder="1" applyAlignment="1">
      <alignment horizontal="left" vertical="center"/>
    </xf>
    <xf numFmtId="164" fontId="12" fillId="8" borderId="11" xfId="1" applyNumberFormat="1" applyFont="1" applyFill="1" applyBorder="1" applyAlignment="1">
      <alignment vertical="center"/>
    </xf>
    <xf numFmtId="0" fontId="26" fillId="8" borderId="0" xfId="0" applyFont="1" applyFill="1" applyAlignment="1">
      <alignment vertical="center"/>
    </xf>
    <xf numFmtId="0" fontId="5" fillId="8" borderId="0" xfId="1" applyFont="1" applyFill="1" applyAlignment="1">
      <alignment horizontal="left"/>
    </xf>
    <xf numFmtId="0" fontId="9" fillId="8" borderId="0" xfId="1" applyFont="1" applyFill="1" applyAlignment="1">
      <alignment horizontal="left"/>
    </xf>
    <xf numFmtId="0" fontId="4" fillId="8" borderId="0" xfId="1" applyFont="1" applyFill="1" applyAlignment="1">
      <alignment horizontal="right"/>
    </xf>
    <xf numFmtId="0" fontId="26" fillId="8" borderId="0" xfId="1" applyFont="1" applyFill="1" applyAlignment="1">
      <alignment horizontal="center"/>
    </xf>
    <xf numFmtId="0" fontId="38" fillId="8" borderId="0" xfId="1" applyFont="1" applyFill="1"/>
    <xf numFmtId="0" fontId="9" fillId="8" borderId="15" xfId="1" applyFont="1" applyFill="1" applyBorder="1" applyAlignment="1">
      <alignment horizontal="left" vertical="center"/>
    </xf>
    <xf numFmtId="4" fontId="9" fillId="8" borderId="4" xfId="1" applyNumberFormat="1" applyFont="1" applyFill="1" applyBorder="1" applyAlignment="1">
      <alignment horizontal="right" vertical="center"/>
    </xf>
    <xf numFmtId="164" fontId="9" fillId="8" borderId="5" xfId="1" applyNumberFormat="1" applyFont="1" applyFill="1" applyBorder="1" applyAlignment="1">
      <alignment vertical="center"/>
    </xf>
    <xf numFmtId="0" fontId="6" fillId="8" borderId="0" xfId="1" applyFont="1" applyFill="1" applyBorder="1" applyAlignment="1">
      <alignment horizontal="center" vertical="center"/>
    </xf>
    <xf numFmtId="0" fontId="35" fillId="8" borderId="0" xfId="1" applyFont="1" applyFill="1"/>
    <xf numFmtId="0" fontId="10" fillId="0" borderId="21" xfId="1" applyFont="1" applyFill="1" applyBorder="1" applyAlignment="1">
      <alignment horizontal="left" vertical="center" wrapText="1"/>
    </xf>
    <xf numFmtId="4" fontId="10" fillId="0" borderId="22" xfId="1" applyNumberFormat="1" applyFont="1" applyFill="1" applyBorder="1" applyAlignment="1">
      <alignment vertical="center"/>
    </xf>
    <xf numFmtId="4" fontId="11" fillId="0" borderId="23" xfId="1" applyNumberFormat="1" applyFont="1" applyFill="1" applyBorder="1" applyAlignment="1">
      <alignment horizontal="right" vertical="center"/>
    </xf>
    <xf numFmtId="164" fontId="10" fillId="0" borderId="24" xfId="1" applyNumberFormat="1" applyFont="1" applyFill="1" applyBorder="1" applyAlignment="1">
      <alignment vertical="center"/>
    </xf>
    <xf numFmtId="4" fontId="11" fillId="0" borderId="22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vertical="center" wrapText="1"/>
    </xf>
    <xf numFmtId="0" fontId="10" fillId="0" borderId="25" xfId="1" applyFont="1" applyFill="1" applyBorder="1" applyAlignment="1">
      <alignment vertical="center" wrapText="1"/>
    </xf>
    <xf numFmtId="4" fontId="11" fillId="0" borderId="26" xfId="1" applyNumberFormat="1" applyFont="1" applyFill="1" applyBorder="1" applyAlignment="1">
      <alignment horizontal="right" vertical="center"/>
    </xf>
    <xf numFmtId="164" fontId="10" fillId="0" borderId="27" xfId="1" applyNumberFormat="1" applyFont="1" applyFill="1" applyBorder="1" applyAlignment="1">
      <alignment vertical="center"/>
    </xf>
    <xf numFmtId="4" fontId="10" fillId="0" borderId="28" xfId="1" applyNumberFormat="1" applyFont="1" applyFill="1" applyBorder="1" applyAlignment="1">
      <alignment vertical="center"/>
    </xf>
    <xf numFmtId="0" fontId="10" fillId="0" borderId="21" xfId="1" applyFont="1" applyFill="1" applyBorder="1" applyAlignment="1">
      <alignment wrapText="1"/>
    </xf>
    <xf numFmtId="0" fontId="10" fillId="0" borderId="25" xfId="1" applyFont="1" applyFill="1" applyBorder="1" applyAlignment="1">
      <alignment wrapText="1"/>
    </xf>
    <xf numFmtId="4" fontId="10" fillId="8" borderId="28" xfId="1" applyNumberFormat="1" applyFont="1" applyFill="1" applyBorder="1" applyAlignment="1">
      <alignment horizontal="right"/>
    </xf>
    <xf numFmtId="4" fontId="10" fillId="8" borderId="22" xfId="1" applyNumberFormat="1" applyFont="1" applyFill="1" applyBorder="1" applyAlignment="1">
      <alignment horizontal="right"/>
    </xf>
    <xf numFmtId="164" fontId="10" fillId="8" borderId="24" xfId="1" applyNumberFormat="1" applyFont="1" applyFill="1" applyBorder="1" applyAlignment="1">
      <alignment vertical="center"/>
    </xf>
    <xf numFmtId="0" fontId="10" fillId="8" borderId="21" xfId="1" applyFont="1" applyFill="1" applyBorder="1" applyAlignment="1">
      <alignment vertical="center" wrapText="1"/>
    </xf>
    <xf numFmtId="4" fontId="10" fillId="8" borderId="28" xfId="1" applyNumberFormat="1" applyFont="1" applyFill="1" applyBorder="1" applyAlignment="1">
      <alignment horizontal="right" vertical="center"/>
    </xf>
    <xf numFmtId="0" fontId="10" fillId="8" borderId="25" xfId="1" applyFont="1" applyFill="1" applyBorder="1" applyAlignment="1">
      <alignment vertical="center" wrapText="1"/>
    </xf>
    <xf numFmtId="164" fontId="10" fillId="8" borderId="27" xfId="1" applyNumberFormat="1" applyFont="1" applyFill="1" applyBorder="1" applyAlignment="1">
      <alignment vertical="center"/>
    </xf>
    <xf numFmtId="0" fontId="10" fillId="0" borderId="21" xfId="1" applyFont="1" applyFill="1" applyBorder="1"/>
    <xf numFmtId="4" fontId="10" fillId="0" borderId="22" xfId="1" applyNumberFormat="1" applyFont="1" applyFill="1" applyBorder="1" applyAlignment="1">
      <alignment horizontal="right"/>
    </xf>
    <xf numFmtId="0" fontId="7" fillId="0" borderId="0" xfId="6" applyFont="1" applyFill="1" applyAlignment="1">
      <alignment horizontal="left"/>
    </xf>
    <xf numFmtId="3" fontId="2" fillId="0" borderId="0" xfId="6" applyNumberFormat="1" applyFont="1" applyFill="1" applyAlignment="1">
      <alignment horizontal="left"/>
    </xf>
    <xf numFmtId="0" fontId="22" fillId="0" borderId="0" xfId="6" applyFont="1" applyFill="1"/>
    <xf numFmtId="4" fontId="22" fillId="0" borderId="0" xfId="6" applyNumberFormat="1" applyFont="1" applyFill="1"/>
    <xf numFmtId="0" fontId="2" fillId="0" borderId="0" xfId="6" applyFill="1"/>
    <xf numFmtId="0" fontId="3" fillId="0" borderId="0" xfId="6" applyFont="1" applyFill="1" applyAlignment="1">
      <alignment horizontal="left"/>
    </xf>
    <xf numFmtId="0" fontId="6" fillId="0" borderId="0" xfId="6" applyFont="1" applyFill="1" applyAlignment="1">
      <alignment horizontal="left"/>
    </xf>
    <xf numFmtId="0" fontId="2" fillId="0" borderId="0" xfId="6" applyFont="1" applyFill="1"/>
    <xf numFmtId="0" fontId="2" fillId="0" borderId="0" xfId="6"/>
    <xf numFmtId="0" fontId="5" fillId="0" borderId="0" xfId="6" applyFont="1" applyFill="1" applyAlignment="1">
      <alignment horizontal="left"/>
    </xf>
    <xf numFmtId="0" fontId="2" fillId="0" borderId="0" xfId="6" applyFont="1" applyAlignment="1">
      <alignment horizontal="left"/>
    </xf>
    <xf numFmtId="0" fontId="22" fillId="0" borderId="0" xfId="6" applyFont="1"/>
    <xf numFmtId="0" fontId="7" fillId="0" borderId="0" xfId="6" applyFont="1" applyFill="1" applyBorder="1" applyAlignment="1">
      <alignment horizontal="left"/>
    </xf>
    <xf numFmtId="0" fontId="9" fillId="0" borderId="0" xfId="6" applyFont="1" applyFill="1" applyAlignment="1">
      <alignment horizontal="left"/>
    </xf>
    <xf numFmtId="0" fontId="2" fillId="0" borderId="0" xfId="6" applyAlignment="1">
      <alignment horizontal="right"/>
    </xf>
    <xf numFmtId="0" fontId="2" fillId="0" borderId="0" xfId="6" applyFont="1" applyFill="1" applyAlignment="1">
      <alignment horizontal="right"/>
    </xf>
    <xf numFmtId="0" fontId="8" fillId="0" borderId="7" xfId="6" applyFont="1" applyFill="1" applyBorder="1" applyAlignment="1">
      <alignment horizontal="center" vertical="center"/>
    </xf>
    <xf numFmtId="4" fontId="8" fillId="0" borderId="1" xfId="6" applyNumberFormat="1" applyFont="1" applyFill="1" applyBorder="1" applyAlignment="1">
      <alignment horizontal="center" vertical="center" wrapText="1"/>
    </xf>
    <xf numFmtId="0" fontId="2" fillId="0" borderId="2" xfId="6" applyFill="1" applyBorder="1" applyAlignment="1">
      <alignment horizontal="center" vertical="center"/>
    </xf>
    <xf numFmtId="4" fontId="2" fillId="0" borderId="1" xfId="6" applyNumberFormat="1" applyFill="1" applyBorder="1" applyAlignment="1">
      <alignment horizontal="center" vertical="center"/>
    </xf>
    <xf numFmtId="0" fontId="2" fillId="0" borderId="3" xfId="6" applyFill="1" applyBorder="1" applyAlignment="1">
      <alignment horizontal="center" vertical="center"/>
    </xf>
    <xf numFmtId="0" fontId="9" fillId="0" borderId="15" xfId="6" applyFont="1" applyFill="1" applyBorder="1" applyAlignment="1">
      <alignment horizontal="left" vertical="center"/>
    </xf>
    <xf numFmtId="4" fontId="9" fillId="0" borderId="4" xfId="6" applyNumberFormat="1" applyFont="1" applyFill="1" applyBorder="1" applyAlignment="1">
      <alignment horizontal="right" vertical="center"/>
    </xf>
    <xf numFmtId="164" fontId="9" fillId="0" borderId="5" xfId="6" applyNumberFormat="1" applyFont="1" applyFill="1" applyBorder="1"/>
    <xf numFmtId="0" fontId="22" fillId="0" borderId="0" xfId="6" applyFont="1" applyBorder="1"/>
    <xf numFmtId="4" fontId="8" fillId="0" borderId="0" xfId="6" applyNumberFormat="1" applyFont="1" applyFill="1" applyBorder="1" applyAlignment="1">
      <alignment horizontal="center" vertical="center" wrapText="1"/>
    </xf>
    <xf numFmtId="0" fontId="2" fillId="0" borderId="0" xfId="6" applyFill="1" applyBorder="1" applyAlignment="1">
      <alignment horizontal="center" vertical="center"/>
    </xf>
    <xf numFmtId="4" fontId="2" fillId="0" borderId="0" xfId="6" applyNumberFormat="1" applyFill="1" applyBorder="1" applyAlignment="1">
      <alignment horizontal="center" vertical="center"/>
    </xf>
    <xf numFmtId="0" fontId="39" fillId="0" borderId="0" xfId="6" applyFont="1"/>
    <xf numFmtId="164" fontId="10" fillId="0" borderId="32" xfId="6" applyNumberFormat="1" applyFont="1" applyFill="1" applyBorder="1" applyAlignment="1">
      <alignment vertical="center"/>
    </xf>
    <xf numFmtId="164" fontId="10" fillId="0" borderId="35" xfId="6" applyNumberFormat="1" applyFont="1" applyFill="1" applyBorder="1" applyAlignment="1">
      <alignment vertical="center"/>
    </xf>
    <xf numFmtId="0" fontId="39" fillId="0" borderId="0" xfId="6" applyFont="1" applyAlignment="1">
      <alignment vertical="center"/>
    </xf>
    <xf numFmtId="0" fontId="2" fillId="0" borderId="0" xfId="6" applyFont="1" applyFill="1" applyAlignment="1">
      <alignment horizontal="left" vertical="center"/>
    </xf>
    <xf numFmtId="4" fontId="9" fillId="0" borderId="0" xfId="6" applyNumberFormat="1" applyFont="1" applyFill="1"/>
    <xf numFmtId="0" fontId="22" fillId="0" borderId="0" xfId="6" applyFont="1" applyAlignment="1">
      <alignment vertical="center"/>
    </xf>
    <xf numFmtId="0" fontId="2" fillId="0" borderId="0" xfId="6" applyFont="1" applyAlignment="1">
      <alignment vertical="center"/>
    </xf>
    <xf numFmtId="4" fontId="22" fillId="0" borderId="0" xfId="6" applyNumberFormat="1" applyFont="1" applyAlignment="1">
      <alignment vertical="center"/>
    </xf>
    <xf numFmtId="0" fontId="42" fillId="0" borderId="0" xfId="6" applyFont="1"/>
    <xf numFmtId="0" fontId="10" fillId="0" borderId="0" xfId="6" applyFont="1" applyFill="1" applyBorder="1" applyAlignment="1">
      <alignment vertical="center" wrapText="1"/>
    </xf>
    <xf numFmtId="4" fontId="10" fillId="0" borderId="0" xfId="6" applyNumberFormat="1" applyFont="1" applyFill="1" applyBorder="1" applyAlignment="1">
      <alignment vertical="center"/>
    </xf>
    <xf numFmtId="4" fontId="11" fillId="0" borderId="0" xfId="6" applyNumberFormat="1" applyFont="1" applyFill="1" applyBorder="1" applyAlignment="1">
      <alignment horizontal="right" vertical="center"/>
    </xf>
    <xf numFmtId="164" fontId="10" fillId="0" borderId="0" xfId="6" applyNumberFormat="1" applyFont="1" applyFill="1" applyBorder="1" applyAlignment="1">
      <alignment vertical="center"/>
    </xf>
    <xf numFmtId="0" fontId="9" fillId="2" borderId="14" xfId="6" applyFont="1" applyFill="1" applyBorder="1" applyAlignment="1">
      <alignment horizontal="left" vertical="center"/>
    </xf>
    <xf numFmtId="0" fontId="2" fillId="0" borderId="14" xfId="6" applyBorder="1"/>
    <xf numFmtId="0" fontId="2" fillId="0" borderId="14" xfId="6" applyBorder="1" applyAlignment="1">
      <alignment horizontal="right"/>
    </xf>
    <xf numFmtId="0" fontId="2" fillId="0" borderId="14" xfId="6" applyFont="1" applyFill="1" applyBorder="1" applyAlignment="1">
      <alignment horizontal="right"/>
    </xf>
    <xf numFmtId="164" fontId="12" fillId="0" borderId="5" xfId="6" applyNumberFormat="1" applyFont="1" applyFill="1" applyBorder="1" applyAlignment="1">
      <alignment vertical="center"/>
    </xf>
    <xf numFmtId="0" fontId="26" fillId="0" borderId="0" xfId="6" applyFont="1" applyFill="1" applyAlignment="1">
      <alignment vertical="center"/>
    </xf>
    <xf numFmtId="0" fontId="2" fillId="2" borderId="0" xfId="6" applyFill="1"/>
    <xf numFmtId="0" fontId="26" fillId="0" borderId="0" xfId="6" applyFont="1" applyFill="1" applyBorder="1" applyAlignment="1">
      <alignment horizontal="center"/>
    </xf>
    <xf numFmtId="0" fontId="2" fillId="9" borderId="0" xfId="8" applyNumberFormat="1" applyFont="1" applyFill="1" applyBorder="1" applyAlignment="1">
      <alignment horizontal="center" vertical="center" wrapText="1"/>
    </xf>
    <xf numFmtId="0" fontId="34" fillId="9" borderId="0" xfId="6" applyFont="1" applyFill="1"/>
    <xf numFmtId="0" fontId="10" fillId="2" borderId="0" xfId="7" applyFont="1" applyFill="1" applyBorder="1" applyAlignment="1">
      <alignment vertical="center" wrapText="1"/>
    </xf>
    <xf numFmtId="4" fontId="10" fillId="2" borderId="0" xfId="6" applyNumberFormat="1" applyFont="1" applyFill="1" applyBorder="1" applyAlignment="1">
      <alignment vertical="center"/>
    </xf>
    <xf numFmtId="4" fontId="40" fillId="0" borderId="0" xfId="6" applyNumberFormat="1" applyFont="1" applyFill="1"/>
    <xf numFmtId="0" fontId="26" fillId="0" borderId="0" xfId="6" applyFont="1" applyFill="1" applyAlignment="1">
      <alignment vertical="top"/>
    </xf>
    <xf numFmtId="4" fontId="27" fillId="0" borderId="0" xfId="6" applyNumberFormat="1" applyFont="1" applyFill="1" applyAlignment="1">
      <alignment vertical="top"/>
    </xf>
    <xf numFmtId="0" fontId="7" fillId="2" borderId="8" xfId="6" applyFont="1" applyFill="1" applyBorder="1" applyAlignment="1">
      <alignment vertical="center" wrapText="1"/>
    </xf>
    <xf numFmtId="4" fontId="3" fillId="2" borderId="8" xfId="6" applyNumberFormat="1" applyFont="1" applyFill="1" applyBorder="1" applyAlignment="1">
      <alignment vertical="center"/>
    </xf>
    <xf numFmtId="164" fontId="15" fillId="0" borderId="8" xfId="6" applyNumberFormat="1" applyFont="1" applyFill="1" applyBorder="1" applyAlignment="1">
      <alignment vertical="center"/>
    </xf>
    <xf numFmtId="0" fontId="7" fillId="4" borderId="0" xfId="6" applyFont="1" applyFill="1" applyAlignment="1">
      <alignment horizontal="left"/>
    </xf>
    <xf numFmtId="0" fontId="24" fillId="0" borderId="0" xfId="6" applyFont="1"/>
    <xf numFmtId="0" fontId="7" fillId="0" borderId="0" xfId="6" applyFont="1"/>
    <xf numFmtId="0" fontId="8" fillId="2" borderId="0" xfId="6" applyFont="1" applyFill="1" applyBorder="1" applyAlignment="1">
      <alignment vertical="center" wrapText="1"/>
    </xf>
    <xf numFmtId="3" fontId="11" fillId="2" borderId="0" xfId="6" applyNumberFormat="1" applyFont="1" applyFill="1" applyBorder="1" applyAlignment="1">
      <alignment horizontal="right" vertical="center"/>
    </xf>
    <xf numFmtId="4" fontId="11" fillId="2" borderId="0" xfId="6" applyNumberFormat="1" applyFont="1" applyFill="1" applyBorder="1" applyAlignment="1">
      <alignment horizontal="right" vertical="center"/>
    </xf>
    <xf numFmtId="3" fontId="10" fillId="0" borderId="0" xfId="6" applyNumberFormat="1" applyFont="1" applyFill="1" applyBorder="1" applyAlignment="1">
      <alignment horizontal="left"/>
    </xf>
    <xf numFmtId="49" fontId="2" fillId="0" borderId="0" xfId="6" applyNumberFormat="1" applyFont="1" applyFill="1" applyBorder="1" applyAlignment="1">
      <alignment horizontal="left" vertical="center"/>
    </xf>
    <xf numFmtId="0" fontId="2" fillId="0" borderId="0" xfId="6" applyFont="1"/>
    <xf numFmtId="4" fontId="11" fillId="0" borderId="31" xfId="6" applyNumberFormat="1" applyFont="1" applyFill="1" applyBorder="1" applyAlignment="1">
      <alignment horizontal="right" vertical="center"/>
    </xf>
    <xf numFmtId="4" fontId="11" fillId="0" borderId="34" xfId="6" applyNumberFormat="1" applyFont="1" applyFill="1" applyBorder="1" applyAlignment="1">
      <alignment horizontal="right" vertical="center"/>
    </xf>
    <xf numFmtId="4" fontId="22" fillId="0" borderId="0" xfId="6" applyNumberFormat="1" applyFont="1"/>
    <xf numFmtId="3" fontId="10" fillId="0" borderId="0" xfId="6" applyNumberFormat="1" applyFont="1" applyFill="1" applyBorder="1" applyAlignment="1">
      <alignment horizontal="left" vertical="center"/>
    </xf>
    <xf numFmtId="0" fontId="22" fillId="0" borderId="0" xfId="6" applyFont="1" applyBorder="1" applyAlignment="1">
      <alignment vertical="center"/>
    </xf>
    <xf numFmtId="0" fontId="2" fillId="0" borderId="0" xfId="6" applyBorder="1" applyAlignment="1">
      <alignment vertical="center"/>
    </xf>
    <xf numFmtId="0" fontId="9" fillId="0" borderId="17" xfId="6" applyFont="1" applyFill="1" applyBorder="1" applyAlignment="1">
      <alignment horizontal="left" vertical="center"/>
    </xf>
    <xf numFmtId="4" fontId="9" fillId="0" borderId="10" xfId="6" applyNumberFormat="1" applyFont="1" applyFill="1" applyBorder="1" applyAlignment="1">
      <alignment horizontal="right" vertical="center"/>
    </xf>
    <xf numFmtId="164" fontId="12" fillId="0" borderId="11" xfId="6" applyNumberFormat="1" applyFont="1" applyFill="1" applyBorder="1" applyAlignment="1">
      <alignment vertical="center"/>
    </xf>
    <xf numFmtId="0" fontId="39" fillId="0" borderId="0" xfId="6" applyFont="1" applyFill="1"/>
    <xf numFmtId="0" fontId="44" fillId="0" borderId="0" xfId="6" applyFont="1"/>
    <xf numFmtId="4" fontId="43" fillId="0" borderId="0" xfId="6" applyNumberFormat="1" applyFont="1" applyFill="1"/>
    <xf numFmtId="4" fontId="27" fillId="0" borderId="0" xfId="6" applyNumberFormat="1" applyFont="1" applyFill="1"/>
    <xf numFmtId="0" fontId="2" fillId="0" borderId="0" xfId="6" applyBorder="1"/>
    <xf numFmtId="0" fontId="5" fillId="0" borderId="0" xfId="6" applyFont="1" applyFill="1" applyBorder="1" applyAlignment="1">
      <alignment horizontal="left"/>
    </xf>
    <xf numFmtId="0" fontId="2" fillId="0" borderId="0" xfId="6" applyFont="1" applyFill="1" applyAlignment="1">
      <alignment horizontal="left"/>
    </xf>
    <xf numFmtId="0" fontId="10" fillId="0" borderId="0" xfId="6" applyFont="1" applyBorder="1"/>
    <xf numFmtId="4" fontId="10" fillId="0" borderId="0" xfId="6" applyNumberFormat="1" applyFont="1" applyFill="1" applyBorder="1" applyAlignment="1">
      <alignment horizontal="right"/>
    </xf>
    <xf numFmtId="4" fontId="25" fillId="0" borderId="0" xfId="6" applyNumberFormat="1" applyFont="1" applyBorder="1"/>
    <xf numFmtId="0" fontId="7" fillId="6" borderId="0" xfId="6" applyFont="1" applyFill="1" applyAlignment="1">
      <alignment horizontal="left"/>
    </xf>
    <xf numFmtId="0" fontId="7" fillId="2" borderId="0" xfId="6" applyFont="1" applyFill="1" applyBorder="1" applyAlignment="1">
      <alignment vertical="center" wrapText="1"/>
    </xf>
    <xf numFmtId="4" fontId="3" fillId="2" borderId="0" xfId="6" applyNumberFormat="1" applyFont="1" applyFill="1" applyBorder="1" applyAlignment="1">
      <alignment vertical="center"/>
    </xf>
    <xf numFmtId="164" fontId="15" fillId="0" borderId="0" xfId="6" applyNumberFormat="1" applyFont="1" applyFill="1" applyBorder="1" applyAlignment="1">
      <alignment vertical="center"/>
    </xf>
    <xf numFmtId="0" fontId="33" fillId="8" borderId="0" xfId="6" applyFont="1" applyFill="1"/>
    <xf numFmtId="0" fontId="22" fillId="8" borderId="0" xfId="6" applyFont="1" applyFill="1"/>
    <xf numFmtId="0" fontId="2" fillId="8" borderId="0" xfId="6" applyFont="1" applyFill="1"/>
    <xf numFmtId="0" fontId="2" fillId="8" borderId="0" xfId="6" applyFont="1" applyFill="1" applyAlignment="1">
      <alignment vertical="center"/>
    </xf>
    <xf numFmtId="0" fontId="2" fillId="8" borderId="0" xfId="6" applyFill="1" applyBorder="1"/>
    <xf numFmtId="164" fontId="10" fillId="8" borderId="0" xfId="6" applyNumberFormat="1" applyFont="1" applyFill="1" applyBorder="1" applyAlignment="1">
      <alignment vertical="center"/>
    </xf>
    <xf numFmtId="0" fontId="5" fillId="8" borderId="0" xfId="6" applyFont="1" applyFill="1" applyBorder="1" applyAlignment="1">
      <alignment horizontal="left"/>
    </xf>
    <xf numFmtId="0" fontId="22" fillId="8" borderId="0" xfId="6" applyFont="1" applyFill="1" applyBorder="1"/>
    <xf numFmtId="0" fontId="9" fillId="8" borderId="0" xfId="6" applyFont="1" applyFill="1" applyBorder="1" applyAlignment="1">
      <alignment horizontal="left" vertical="center"/>
    </xf>
    <xf numFmtId="0" fontId="2" fillId="8" borderId="0" xfId="6" applyFill="1"/>
    <xf numFmtId="0" fontId="2" fillId="8" borderId="0" xfId="6" applyFont="1" applyFill="1" applyAlignment="1">
      <alignment horizontal="right"/>
    </xf>
    <xf numFmtId="0" fontId="8" fillId="8" borderId="7" xfId="6" applyFont="1" applyFill="1" applyBorder="1" applyAlignment="1">
      <alignment horizontal="center" vertical="center"/>
    </xf>
    <xf numFmtId="0" fontId="2" fillId="8" borderId="2" xfId="6" applyFill="1" applyBorder="1" applyAlignment="1">
      <alignment horizontal="center" vertical="center"/>
    </xf>
    <xf numFmtId="4" fontId="2" fillId="8" borderId="1" xfId="6" applyNumberFormat="1" applyFill="1" applyBorder="1" applyAlignment="1">
      <alignment horizontal="center" vertical="center"/>
    </xf>
    <xf numFmtId="0" fontId="2" fillId="8" borderId="3" xfId="6" applyFill="1" applyBorder="1" applyAlignment="1">
      <alignment horizontal="center" vertical="center"/>
    </xf>
    <xf numFmtId="0" fontId="9" fillId="8" borderId="17" xfId="6" applyFont="1" applyFill="1" applyBorder="1" applyAlignment="1">
      <alignment horizontal="left" vertical="center"/>
    </xf>
    <xf numFmtId="4" fontId="9" fillId="8" borderId="20" xfId="6" applyNumberFormat="1" applyFont="1" applyFill="1" applyBorder="1" applyAlignment="1">
      <alignment horizontal="right" vertical="center"/>
    </xf>
    <xf numFmtId="164" fontId="12" fillId="8" borderId="11" xfId="6" applyNumberFormat="1" applyFont="1" applyFill="1" applyBorder="1" applyAlignment="1">
      <alignment vertical="center"/>
    </xf>
    <xf numFmtId="0" fontId="26" fillId="8" borderId="0" xfId="6" applyFont="1" applyFill="1" applyAlignment="1">
      <alignment vertical="center"/>
    </xf>
    <xf numFmtId="0" fontId="10" fillId="8" borderId="0" xfId="6" applyFont="1" applyFill="1" applyBorder="1" applyAlignment="1">
      <alignment horizontal="left" vertical="center"/>
    </xf>
    <xf numFmtId="0" fontId="5" fillId="8" borderId="0" xfId="6" applyFont="1" applyFill="1" applyAlignment="1">
      <alignment horizontal="left"/>
    </xf>
    <xf numFmtId="4" fontId="6" fillId="0" borderId="0" xfId="6" applyNumberFormat="1" applyFont="1" applyFill="1"/>
    <xf numFmtId="0" fontId="7" fillId="3" borderId="0" xfId="6" applyFont="1" applyFill="1" applyAlignment="1">
      <alignment horizontal="left"/>
    </xf>
    <xf numFmtId="0" fontId="41" fillId="0" borderId="0" xfId="6" applyFont="1"/>
    <xf numFmtId="0" fontId="10" fillId="0" borderId="33" xfId="6" applyFont="1" applyFill="1" applyBorder="1" applyAlignment="1">
      <alignment vertical="center" wrapText="1"/>
    </xf>
    <xf numFmtId="4" fontId="12" fillId="0" borderId="0" xfId="6" applyNumberFormat="1" applyFont="1" applyAlignment="1">
      <alignment vertical="center"/>
    </xf>
    <xf numFmtId="0" fontId="2" fillId="0" borderId="0" xfId="6" applyFill="1" applyAlignment="1">
      <alignment horizontal="right"/>
    </xf>
    <xf numFmtId="4" fontId="2" fillId="0" borderId="0" xfId="6" applyNumberFormat="1" applyFill="1" applyAlignment="1">
      <alignment horizontal="right"/>
    </xf>
    <xf numFmtId="0" fontId="8" fillId="0" borderId="19" xfId="6" applyFont="1" applyFill="1" applyBorder="1" applyAlignment="1">
      <alignment horizontal="center" vertical="center"/>
    </xf>
    <xf numFmtId="4" fontId="9" fillId="0" borderId="10" xfId="6" applyNumberFormat="1" applyFont="1" applyFill="1" applyBorder="1" applyAlignment="1">
      <alignment horizontal="right"/>
    </xf>
    <xf numFmtId="164" fontId="10" fillId="0" borderId="38" xfId="6" applyNumberFormat="1" applyFont="1" applyFill="1" applyBorder="1" applyAlignment="1">
      <alignment vertical="center"/>
    </xf>
    <xf numFmtId="0" fontId="2" fillId="0" borderId="0" xfId="6" applyFont="1" applyFill="1" applyBorder="1" applyAlignment="1">
      <alignment horizontal="left"/>
    </xf>
    <xf numFmtId="4" fontId="10" fillId="0" borderId="34" xfId="6" applyNumberFormat="1" applyFont="1" applyFill="1" applyBorder="1" applyAlignment="1">
      <alignment horizontal="right"/>
    </xf>
    <xf numFmtId="0" fontId="7" fillId="2" borderId="8" xfId="6" applyFont="1" applyFill="1" applyBorder="1" applyAlignment="1">
      <alignment horizontal="left" vertical="center"/>
    </xf>
    <xf numFmtId="4" fontId="3" fillId="2" borderId="8" xfId="6" applyNumberFormat="1" applyFont="1" applyFill="1" applyBorder="1" applyAlignment="1">
      <alignment horizontal="right" vertical="center"/>
    </xf>
    <xf numFmtId="0" fontId="9" fillId="0" borderId="12" xfId="6" applyFont="1" applyFill="1" applyBorder="1" applyAlignment="1">
      <alignment horizontal="left" vertical="center"/>
    </xf>
    <xf numFmtId="4" fontId="9" fillId="0" borderId="4" xfId="6" applyNumberFormat="1" applyFont="1" applyFill="1" applyBorder="1" applyAlignment="1">
      <alignment horizontal="right"/>
    </xf>
    <xf numFmtId="0" fontId="9" fillId="0" borderId="0" xfId="6" applyFont="1" applyFill="1" applyBorder="1" applyAlignment="1">
      <alignment horizontal="left"/>
    </xf>
    <xf numFmtId="4" fontId="9" fillId="0" borderId="0" xfId="6" applyNumberFormat="1" applyFont="1" applyFill="1" applyBorder="1" applyAlignment="1">
      <alignment horizontal="right"/>
    </xf>
    <xf numFmtId="164" fontId="9" fillId="0" borderId="0" xfId="6" applyNumberFormat="1" applyFont="1" applyFill="1" applyBorder="1" applyAlignment="1">
      <alignment horizontal="right"/>
    </xf>
    <xf numFmtId="0" fontId="7" fillId="2" borderId="0" xfId="6" applyFont="1" applyFill="1" applyBorder="1" applyAlignment="1">
      <alignment horizontal="left" vertical="center"/>
    </xf>
    <xf numFmtId="4" fontId="3" fillId="2" borderId="0" xfId="6" applyNumberFormat="1" applyFont="1" applyFill="1" applyBorder="1" applyAlignment="1">
      <alignment horizontal="right" vertical="center"/>
    </xf>
    <xf numFmtId="4" fontId="10" fillId="0" borderId="0" xfId="6" applyNumberFormat="1" applyFont="1" applyFill="1" applyBorder="1"/>
    <xf numFmtId="0" fontId="2" fillId="4" borderId="0" xfId="6" applyFont="1" applyFill="1" applyAlignment="1">
      <alignment horizontal="left"/>
    </xf>
    <xf numFmtId="0" fontId="13" fillId="0" borderId="0" xfId="6" applyFont="1" applyFill="1" applyBorder="1" applyAlignment="1">
      <alignment horizontal="left"/>
    </xf>
    <xf numFmtId="0" fontId="14" fillId="0" borderId="0" xfId="6" applyFont="1" applyFill="1" applyBorder="1"/>
    <xf numFmtId="0" fontId="2" fillId="3" borderId="0" xfId="6" applyFont="1" applyFill="1" applyAlignment="1">
      <alignment horizontal="left"/>
    </xf>
    <xf numFmtId="0" fontId="14" fillId="0" borderId="0" xfId="6" applyFont="1" applyFill="1" applyBorder="1" applyAlignment="1">
      <alignment horizontal="left"/>
    </xf>
    <xf numFmtId="164" fontId="14" fillId="0" borderId="0" xfId="6" applyNumberFormat="1" applyFont="1" applyFill="1" applyBorder="1"/>
    <xf numFmtId="0" fontId="2" fillId="6" borderId="0" xfId="6" applyFont="1" applyFill="1" applyAlignment="1">
      <alignment horizontal="left"/>
    </xf>
    <xf numFmtId="0" fontId="2" fillId="7" borderId="0" xfId="6" applyFont="1" applyFill="1" applyAlignment="1">
      <alignment horizontal="left"/>
    </xf>
    <xf numFmtId="0" fontId="15" fillId="0" borderId="8" xfId="6" applyFont="1" applyFill="1" applyBorder="1" applyAlignment="1">
      <alignment horizontal="left"/>
    </xf>
    <xf numFmtId="4" fontId="12" fillId="0" borderId="8" xfId="6" applyNumberFormat="1" applyFont="1" applyFill="1" applyBorder="1"/>
    <xf numFmtId="164" fontId="12" fillId="0" borderId="8" xfId="6" applyNumberFormat="1" applyFont="1" applyFill="1" applyBorder="1"/>
    <xf numFmtId="4" fontId="39" fillId="0" borderId="0" xfId="6" applyNumberFormat="1" applyFont="1"/>
    <xf numFmtId="0" fontId="38" fillId="0" borderId="0" xfId="6" applyFont="1"/>
    <xf numFmtId="4" fontId="44" fillId="0" borderId="0" xfId="6" applyNumberFormat="1" applyFont="1" applyFill="1"/>
    <xf numFmtId="4" fontId="26" fillId="0" borderId="0" xfId="6" applyNumberFormat="1" applyFont="1" applyFill="1"/>
    <xf numFmtId="4" fontId="6" fillId="0" borderId="0" xfId="6" applyNumberFormat="1" applyFont="1"/>
    <xf numFmtId="0" fontId="2" fillId="0" borderId="0" xfId="6" applyFill="1" applyBorder="1" applyAlignment="1">
      <alignment horizontal="center"/>
    </xf>
    <xf numFmtId="4" fontId="6" fillId="0" borderId="0" xfId="6" applyNumberFormat="1" applyFont="1" applyFill="1" applyBorder="1" applyAlignment="1">
      <alignment horizontal="right"/>
    </xf>
    <xf numFmtId="0" fontId="2" fillId="0" borderId="0" xfId="6" applyFont="1" applyFill="1" applyBorder="1" applyAlignment="1">
      <alignment horizontal="center"/>
    </xf>
    <xf numFmtId="4" fontId="2" fillId="0" borderId="0" xfId="6" applyNumberFormat="1" applyFill="1" applyBorder="1" applyAlignment="1">
      <alignment horizontal="right"/>
    </xf>
    <xf numFmtId="0" fontId="2" fillId="0" borderId="0" xfId="6" applyFont="1" applyFill="1" applyAlignment="1">
      <alignment horizontal="center"/>
    </xf>
    <xf numFmtId="4" fontId="10" fillId="0" borderId="26" xfId="6" applyNumberFormat="1" applyFont="1" applyFill="1" applyBorder="1" applyAlignment="1">
      <alignment horizontal="right" vertical="center"/>
    </xf>
    <xf numFmtId="164" fontId="10" fillId="0" borderId="27" xfId="6" applyNumberFormat="1" applyFont="1" applyFill="1" applyBorder="1" applyAlignment="1">
      <alignment vertical="center"/>
    </xf>
    <xf numFmtId="4" fontId="3" fillId="8" borderId="8" xfId="6" applyNumberFormat="1" applyFont="1" applyFill="1" applyBorder="1" applyAlignment="1">
      <alignment vertical="center"/>
    </xf>
    <xf numFmtId="0" fontId="46" fillId="0" borderId="0" xfId="1" applyFont="1" applyAlignment="1">
      <alignment vertical="center"/>
    </xf>
    <xf numFmtId="4" fontId="47" fillId="0" borderId="0" xfId="6" applyNumberFormat="1" applyFont="1" applyFill="1"/>
    <xf numFmtId="4" fontId="33" fillId="8" borderId="0" xfId="6" applyNumberFormat="1" applyFont="1" applyFill="1" applyBorder="1"/>
    <xf numFmtId="0" fontId="48" fillId="0" borderId="0" xfId="6" applyFont="1"/>
    <xf numFmtId="0" fontId="49" fillId="8" borderId="0" xfId="6" applyFont="1" applyFill="1"/>
    <xf numFmtId="4" fontId="49" fillId="0" borderId="0" xfId="6" applyNumberFormat="1" applyFont="1"/>
    <xf numFmtId="4" fontId="10" fillId="0" borderId="26" xfId="1" applyNumberFormat="1" applyFont="1" applyFill="1" applyBorder="1" applyAlignment="1">
      <alignment vertical="center"/>
    </xf>
    <xf numFmtId="4" fontId="10" fillId="0" borderId="28" xfId="1" applyNumberFormat="1" applyFont="1" applyFill="1" applyBorder="1" applyAlignment="1">
      <alignment horizontal="right" vertical="center"/>
    </xf>
    <xf numFmtId="0" fontId="10" fillId="0" borderId="25" xfId="1" applyFont="1" applyFill="1" applyBorder="1" applyAlignment="1">
      <alignment horizontal="left" vertical="center" wrapText="1"/>
    </xf>
    <xf numFmtId="4" fontId="10" fillId="0" borderId="29" xfId="1" applyNumberFormat="1" applyFont="1" applyFill="1" applyBorder="1" applyAlignment="1">
      <alignment horizontal="right" vertical="center"/>
    </xf>
    <xf numFmtId="4" fontId="10" fillId="0" borderId="22" xfId="1" applyNumberFormat="1" applyFont="1" applyFill="1" applyBorder="1" applyAlignment="1">
      <alignment horizontal="right" vertical="center"/>
    </xf>
    <xf numFmtId="4" fontId="10" fillId="0" borderId="26" xfId="1" applyNumberFormat="1" applyFont="1" applyFill="1" applyBorder="1" applyAlignment="1">
      <alignment horizontal="right"/>
    </xf>
    <xf numFmtId="4" fontId="10" fillId="0" borderId="22" xfId="1" applyNumberFormat="1" applyFont="1" applyFill="1" applyBorder="1"/>
    <xf numFmtId="4" fontId="10" fillId="0" borderId="26" xfId="1" applyNumberFormat="1" applyFont="1" applyFill="1" applyBorder="1"/>
    <xf numFmtId="164" fontId="10" fillId="0" borderId="24" xfId="6" applyNumberFormat="1" applyFont="1" applyFill="1" applyBorder="1" applyAlignment="1">
      <alignment vertical="center"/>
    </xf>
    <xf numFmtId="4" fontId="11" fillId="0" borderId="22" xfId="6" applyNumberFormat="1" applyFont="1" applyFill="1" applyBorder="1" applyAlignment="1">
      <alignment horizontal="right" vertical="center"/>
    </xf>
    <xf numFmtId="4" fontId="11" fillId="0" borderId="26" xfId="6" applyNumberFormat="1" applyFont="1" applyFill="1" applyBorder="1" applyAlignment="1">
      <alignment horizontal="right" vertical="center"/>
    </xf>
    <xf numFmtId="164" fontId="10" fillId="8" borderId="24" xfId="6" applyNumberFormat="1" applyFont="1" applyFill="1" applyBorder="1" applyAlignment="1">
      <alignment vertical="center"/>
    </xf>
    <xf numFmtId="0" fontId="7" fillId="2" borderId="39" xfId="6" applyFont="1" applyFill="1" applyBorder="1" applyAlignment="1">
      <alignment horizontal="left" vertical="center"/>
    </xf>
    <xf numFmtId="164" fontId="15" fillId="0" borderId="40" xfId="6" applyNumberFormat="1" applyFont="1" applyFill="1" applyBorder="1" applyAlignment="1">
      <alignment vertical="center"/>
    </xf>
    <xf numFmtId="0" fontId="16" fillId="0" borderId="12" xfId="6" applyFont="1" applyFill="1" applyBorder="1" applyAlignment="1">
      <alignment horizontal="left" vertical="center"/>
    </xf>
    <xf numFmtId="4" fontId="10" fillId="0" borderId="26" xfId="6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wrapText="1"/>
    </xf>
    <xf numFmtId="0" fontId="22" fillId="0" borderId="0" xfId="1" applyFont="1" applyAlignment="1">
      <alignment horizontal="right"/>
    </xf>
    <xf numFmtId="0" fontId="35" fillId="0" borderId="0" xfId="1" applyFont="1" applyAlignment="1">
      <alignment horizontal="right"/>
    </xf>
    <xf numFmtId="0" fontId="34" fillId="9" borderId="0" xfId="0" applyFont="1" applyFill="1" applyAlignment="1">
      <alignment horizontal="right"/>
    </xf>
    <xf numFmtId="0" fontId="33" fillId="0" borderId="0" xfId="0" applyFont="1" applyFill="1" applyAlignment="1">
      <alignment horizontal="right"/>
    </xf>
    <xf numFmtId="0" fontId="39" fillId="0" borderId="0" xfId="0" applyFont="1" applyFill="1" applyAlignment="1">
      <alignment horizontal="right"/>
    </xf>
    <xf numFmtId="0" fontId="44" fillId="0" borderId="0" xfId="1" applyFont="1" applyAlignment="1">
      <alignment horizontal="right"/>
    </xf>
    <xf numFmtId="0" fontId="26" fillId="0" borderId="0" xfId="0" applyFont="1" applyFill="1" applyAlignment="1">
      <alignment horizontal="right" vertical="center"/>
    </xf>
    <xf numFmtId="0" fontId="30" fillId="0" borderId="41" xfId="1" applyFont="1" applyFill="1" applyBorder="1"/>
    <xf numFmtId="0" fontId="29" fillId="0" borderId="42" xfId="1" applyFont="1" applyFill="1" applyBorder="1"/>
    <xf numFmtId="0" fontId="30" fillId="0" borderId="45" xfId="1" applyFont="1" applyFill="1" applyBorder="1"/>
    <xf numFmtId="4" fontId="30" fillId="0" borderId="46" xfId="1" applyNumberFormat="1" applyFont="1" applyFill="1" applyBorder="1" applyAlignment="1">
      <alignment horizontal="right"/>
    </xf>
    <xf numFmtId="4" fontId="29" fillId="0" borderId="47" xfId="1" applyNumberFormat="1" applyFont="1" applyFill="1" applyBorder="1" applyAlignment="1">
      <alignment horizontal="right"/>
    </xf>
    <xf numFmtId="4" fontId="30" fillId="0" borderId="48" xfId="1" applyNumberFormat="1" applyFont="1" applyFill="1" applyBorder="1" applyAlignment="1">
      <alignment horizontal="right"/>
    </xf>
    <xf numFmtId="0" fontId="48" fillId="0" borderId="0" xfId="1" applyFont="1" applyAlignment="1">
      <alignment horizontal="right"/>
    </xf>
    <xf numFmtId="4" fontId="50" fillId="0" borderId="0" xfId="1" applyNumberFormat="1" applyFont="1"/>
    <xf numFmtId="4" fontId="17" fillId="0" borderId="5" xfId="1" applyNumberFormat="1" applyFont="1" applyFill="1" applyBorder="1"/>
    <xf numFmtId="4" fontId="3" fillId="0" borderId="16" xfId="1" applyNumberFormat="1" applyFont="1" applyBorder="1"/>
    <xf numFmtId="0" fontId="4" fillId="0" borderId="14" xfId="1" applyFill="1" applyBorder="1"/>
    <xf numFmtId="4" fontId="3" fillId="0" borderId="8" xfId="1" applyNumberFormat="1" applyFont="1" applyFill="1" applyBorder="1" applyAlignment="1">
      <alignment vertical="center"/>
    </xf>
    <xf numFmtId="4" fontId="10" fillId="0" borderId="26" xfId="1" applyNumberFormat="1" applyFont="1" applyFill="1" applyBorder="1" applyAlignment="1">
      <alignment horizontal="right" vertical="center"/>
    </xf>
    <xf numFmtId="0" fontId="4" fillId="0" borderId="0" xfId="1" applyFill="1" applyBorder="1"/>
    <xf numFmtId="4" fontId="25" fillId="0" borderId="0" xfId="1" applyNumberFormat="1" applyFont="1" applyFill="1" applyBorder="1"/>
    <xf numFmtId="4" fontId="3" fillId="0" borderId="0" xfId="1" applyNumberFormat="1" applyFont="1" applyFill="1" applyBorder="1" applyAlignment="1">
      <alignment vertical="center"/>
    </xf>
    <xf numFmtId="4" fontId="10" fillId="0" borderId="28" xfId="1" applyNumberFormat="1" applyFont="1" applyFill="1" applyBorder="1" applyAlignment="1">
      <alignment horizontal="right"/>
    </xf>
    <xf numFmtId="4" fontId="9" fillId="0" borderId="20" xfId="1" applyNumberFormat="1" applyFont="1" applyFill="1" applyBorder="1" applyAlignment="1">
      <alignment horizontal="right" vertical="center"/>
    </xf>
    <xf numFmtId="4" fontId="10" fillId="0" borderId="22" xfId="6" applyNumberFormat="1" applyFont="1" applyFill="1" applyBorder="1" applyAlignment="1">
      <alignment vertical="center"/>
    </xf>
    <xf numFmtId="4" fontId="10" fillId="0" borderId="31" xfId="6" applyNumberFormat="1" applyFont="1" applyFill="1" applyBorder="1" applyAlignment="1">
      <alignment vertical="center"/>
    </xf>
    <xf numFmtId="4" fontId="10" fillId="0" borderId="34" xfId="6" applyNumberFormat="1" applyFont="1" applyFill="1" applyBorder="1" applyAlignment="1">
      <alignment vertical="center"/>
    </xf>
    <xf numFmtId="4" fontId="10" fillId="0" borderId="26" xfId="6" applyNumberFormat="1" applyFont="1" applyFill="1" applyBorder="1" applyAlignment="1">
      <alignment vertical="center"/>
    </xf>
    <xf numFmtId="0" fontId="2" fillId="0" borderId="14" xfId="6" applyFill="1" applyBorder="1"/>
    <xf numFmtId="4" fontId="3" fillId="0" borderId="8" xfId="6" applyNumberFormat="1" applyFont="1" applyFill="1" applyBorder="1" applyAlignment="1">
      <alignment vertical="center"/>
    </xf>
    <xf numFmtId="0" fontId="2" fillId="0" borderId="0" xfId="6" applyFill="1" applyBorder="1"/>
    <xf numFmtId="4" fontId="25" fillId="0" borderId="0" xfId="6" applyNumberFormat="1" applyFont="1" applyFill="1" applyBorder="1"/>
    <xf numFmtId="4" fontId="3" fillId="0" borderId="0" xfId="6" applyNumberFormat="1" applyFont="1" applyFill="1" applyBorder="1" applyAlignment="1">
      <alignment vertical="center"/>
    </xf>
    <xf numFmtId="4" fontId="9" fillId="0" borderId="20" xfId="6" applyNumberFormat="1" applyFont="1" applyFill="1" applyBorder="1" applyAlignment="1">
      <alignment horizontal="right" vertical="center"/>
    </xf>
    <xf numFmtId="3" fontId="2" fillId="0" borderId="0" xfId="6" applyNumberFormat="1" applyFill="1" applyAlignment="1">
      <alignment horizontal="right"/>
    </xf>
    <xf numFmtId="4" fontId="3" fillId="0" borderId="8" xfId="6" applyNumberFormat="1" applyFont="1" applyFill="1" applyBorder="1" applyAlignment="1">
      <alignment horizontal="right" vertical="center"/>
    </xf>
    <xf numFmtId="4" fontId="10" fillId="0" borderId="34" xfId="1" applyNumberFormat="1" applyFont="1" applyFill="1" applyBorder="1" applyAlignment="1">
      <alignment vertical="center"/>
    </xf>
    <xf numFmtId="164" fontId="10" fillId="0" borderId="35" xfId="1" applyNumberFormat="1" applyFont="1" applyFill="1" applyBorder="1" applyAlignment="1">
      <alignment vertical="center"/>
    </xf>
    <xf numFmtId="0" fontId="10" fillId="0" borderId="33" xfId="1" applyFont="1" applyFill="1" applyBorder="1" applyAlignment="1">
      <alignment vertical="center" wrapText="1"/>
    </xf>
    <xf numFmtId="4" fontId="11" fillId="0" borderId="34" xfId="1" applyNumberFormat="1" applyFont="1" applyFill="1" applyBorder="1" applyAlignment="1">
      <alignment horizontal="right" vertical="center"/>
    </xf>
    <xf numFmtId="0" fontId="10" fillId="0" borderId="33" xfId="1" applyFont="1" applyFill="1" applyBorder="1" applyAlignment="1">
      <alignment wrapText="1"/>
    </xf>
    <xf numFmtId="4" fontId="10" fillId="0" borderId="34" xfId="1" applyNumberFormat="1" applyFont="1" applyFill="1" applyBorder="1" applyAlignment="1">
      <alignment horizontal="right" vertical="center"/>
    </xf>
    <xf numFmtId="0" fontId="10" fillId="8" borderId="33" xfId="1" applyFont="1" applyFill="1" applyBorder="1"/>
    <xf numFmtId="4" fontId="10" fillId="8" borderId="34" xfId="1" applyNumberFormat="1" applyFont="1" applyFill="1" applyBorder="1" applyAlignment="1">
      <alignment horizontal="right"/>
    </xf>
    <xf numFmtId="4" fontId="10" fillId="8" borderId="37" xfId="1" applyNumberFormat="1" applyFont="1" applyFill="1" applyBorder="1" applyAlignment="1">
      <alignment horizontal="right"/>
    </xf>
    <xf numFmtId="164" fontId="10" fillId="8" borderId="35" xfId="1" applyNumberFormat="1" applyFont="1" applyFill="1" applyBorder="1" applyAlignment="1">
      <alignment vertical="center"/>
    </xf>
    <xf numFmtId="0" fontId="9" fillId="0" borderId="30" xfId="1" applyFont="1" applyFill="1" applyBorder="1" applyAlignment="1">
      <alignment horizontal="left" vertical="center"/>
    </xf>
    <xf numFmtId="4" fontId="9" fillId="0" borderId="36" xfId="1" applyNumberFormat="1" applyFont="1" applyFill="1" applyBorder="1" applyAlignment="1">
      <alignment horizontal="right" vertical="center"/>
    </xf>
    <xf numFmtId="164" fontId="12" fillId="0" borderId="32" xfId="1" applyNumberFormat="1" applyFont="1" applyFill="1" applyBorder="1" applyAlignment="1">
      <alignment vertical="center"/>
    </xf>
    <xf numFmtId="4" fontId="20" fillId="0" borderId="0" xfId="1" applyNumberFormat="1" applyFont="1"/>
    <xf numFmtId="0" fontId="2" fillId="0" borderId="0" xfId="6" applyNumberFormat="1" applyFont="1" applyFill="1" applyBorder="1" applyAlignment="1">
      <alignment horizontal="left" vertical="center"/>
    </xf>
    <xf numFmtId="4" fontId="4" fillId="0" borderId="0" xfId="1" applyNumberFormat="1" applyFont="1"/>
    <xf numFmtId="0" fontId="3" fillId="0" borderId="0" xfId="1" applyFont="1" applyBorder="1" applyAlignment="1">
      <alignment horizontal="left"/>
    </xf>
    <xf numFmtId="4" fontId="23" fillId="0" borderId="0" xfId="1" applyNumberFormat="1" applyFont="1"/>
    <xf numFmtId="4" fontId="30" fillId="0" borderId="0" xfId="1" applyNumberFormat="1" applyFont="1" applyFill="1"/>
    <xf numFmtId="4" fontId="17" fillId="0" borderId="0" xfId="1" applyNumberFormat="1" applyFont="1"/>
    <xf numFmtId="0" fontId="10" fillId="0" borderId="30" xfId="1" applyFont="1" applyFill="1" applyBorder="1" applyAlignment="1">
      <alignment vertical="center" wrapText="1"/>
    </xf>
    <xf numFmtId="4" fontId="10" fillId="0" borderId="31" xfId="1" applyNumberFormat="1" applyFont="1" applyFill="1" applyBorder="1" applyAlignment="1">
      <alignment vertical="center"/>
    </xf>
    <xf numFmtId="164" fontId="10" fillId="0" borderId="32" xfId="1" applyNumberFormat="1" applyFont="1" applyFill="1" applyBorder="1" applyAlignment="1">
      <alignment vertical="center"/>
    </xf>
    <xf numFmtId="0" fontId="10" fillId="0" borderId="30" xfId="1" applyFont="1" applyFill="1" applyBorder="1"/>
    <xf numFmtId="4" fontId="10" fillId="0" borderId="31" xfId="1" applyNumberFormat="1" applyFont="1" applyFill="1" applyBorder="1" applyAlignment="1">
      <alignment horizontal="right"/>
    </xf>
    <xf numFmtId="4" fontId="28" fillId="0" borderId="0" xfId="1" applyNumberFormat="1" applyFont="1" applyFill="1"/>
    <xf numFmtId="0" fontId="49" fillId="0" borderId="0" xfId="6" applyFont="1"/>
    <xf numFmtId="4" fontId="10" fillId="0" borderId="22" xfId="6" applyNumberFormat="1" applyFont="1" applyFill="1" applyBorder="1" applyAlignment="1">
      <alignment horizontal="right"/>
    </xf>
    <xf numFmtId="4" fontId="54" fillId="0" borderId="0" xfId="6" applyNumberFormat="1" applyFont="1" applyFill="1"/>
    <xf numFmtId="4" fontId="55" fillId="0" borderId="0" xfId="6" applyNumberFormat="1" applyFont="1" applyFill="1"/>
    <xf numFmtId="4" fontId="49" fillId="8" borderId="0" xfId="6" applyNumberFormat="1" applyFont="1" applyFill="1" applyBorder="1"/>
    <xf numFmtId="0" fontId="6" fillId="0" borderId="0" xfId="6" applyFont="1"/>
    <xf numFmtId="0" fontId="53" fillId="0" borderId="0" xfId="6" applyFont="1"/>
    <xf numFmtId="4" fontId="53" fillId="0" borderId="0" xfId="6" applyNumberFormat="1" applyFont="1"/>
    <xf numFmtId="0" fontId="17" fillId="0" borderId="41" xfId="1" applyFont="1" applyBorder="1" applyAlignment="1">
      <alignment horizontal="center"/>
    </xf>
    <xf numFmtId="0" fontId="17" fillId="0" borderId="51" xfId="1" applyFont="1" applyBorder="1" applyAlignment="1">
      <alignment horizontal="center"/>
    </xf>
    <xf numFmtId="0" fontId="30" fillId="0" borderId="42" xfId="1" applyFont="1" applyFill="1" applyBorder="1"/>
    <xf numFmtId="4" fontId="30" fillId="0" borderId="53" xfId="1" applyNumberFormat="1" applyFont="1" applyFill="1" applyBorder="1" applyAlignment="1">
      <alignment horizontal="right"/>
    </xf>
    <xf numFmtId="0" fontId="30" fillId="0" borderId="52" xfId="1" applyFont="1" applyFill="1" applyBorder="1"/>
    <xf numFmtId="4" fontId="30" fillId="0" borderId="52" xfId="1" applyNumberFormat="1" applyFont="1" applyFill="1" applyBorder="1" applyAlignment="1">
      <alignment horizontal="right"/>
    </xf>
    <xf numFmtId="4" fontId="21" fillId="0" borderId="0" xfId="1" applyNumberFormat="1" applyFont="1"/>
    <xf numFmtId="0" fontId="4" fillId="0" borderId="0" xfId="1" applyFont="1" applyBorder="1"/>
    <xf numFmtId="4" fontId="52" fillId="0" borderId="0" xfId="1" applyNumberFormat="1" applyFont="1" applyBorder="1"/>
    <xf numFmtId="0" fontId="30" fillId="0" borderId="0" xfId="1" applyFont="1" applyFill="1" applyBorder="1"/>
    <xf numFmtId="4" fontId="30" fillId="0" borderId="0" xfId="1" applyNumberFormat="1" applyFont="1" applyFill="1" applyBorder="1" applyAlignment="1">
      <alignment horizontal="right"/>
    </xf>
    <xf numFmtId="0" fontId="17" fillId="0" borderId="0" xfId="1" applyFont="1" applyBorder="1" applyAlignment="1">
      <alignment horizontal="center"/>
    </xf>
    <xf numFmtId="0" fontId="29" fillId="0" borderId="0" xfId="1" applyFont="1" applyFill="1" applyBorder="1"/>
    <xf numFmtId="4" fontId="29" fillId="0" borderId="0" xfId="1" applyNumberFormat="1" applyFont="1" applyFill="1" applyBorder="1" applyAlignment="1">
      <alignment horizontal="right"/>
    </xf>
    <xf numFmtId="0" fontId="17" fillId="0" borderId="0" xfId="1" applyFont="1" applyBorder="1"/>
    <xf numFmtId="4" fontId="17" fillId="0" borderId="5" xfId="1" applyNumberFormat="1" applyFont="1" applyBorder="1"/>
    <xf numFmtId="0" fontId="10" fillId="0" borderId="30" xfId="1" applyFont="1" applyFill="1" applyBorder="1" applyAlignment="1">
      <alignment horizontal="left" vertical="center" wrapText="1"/>
    </xf>
    <xf numFmtId="0" fontId="10" fillId="0" borderId="21" xfId="1" applyFont="1" applyFill="1" applyBorder="1" applyAlignment="1">
      <alignment horizontal="left" vertical="center" wrapText="1"/>
    </xf>
    <xf numFmtId="0" fontId="10" fillId="8" borderId="30" xfId="1" applyFont="1" applyFill="1" applyBorder="1" applyAlignment="1">
      <alignment vertical="center" wrapText="1"/>
    </xf>
    <xf numFmtId="4" fontId="10" fillId="8" borderId="26" xfId="1" applyNumberFormat="1" applyFont="1" applyFill="1" applyBorder="1" applyAlignment="1">
      <alignment horizontal="right"/>
    </xf>
    <xf numFmtId="4" fontId="10" fillId="8" borderId="26" xfId="1" applyNumberFormat="1" applyFont="1" applyFill="1" applyBorder="1" applyAlignment="1">
      <alignment horizontal="right" vertical="center"/>
    </xf>
    <xf numFmtId="0" fontId="48" fillId="0" borderId="0" xfId="6" applyFont="1" applyAlignment="1">
      <alignment vertical="center"/>
    </xf>
    <xf numFmtId="0" fontId="10" fillId="0" borderId="18" xfId="1" applyFont="1" applyFill="1" applyBorder="1" applyAlignment="1">
      <alignment wrapText="1"/>
    </xf>
    <xf numFmtId="0" fontId="2" fillId="0" borderId="0" xfId="1" applyFont="1" applyAlignment="1">
      <alignment horizontal="right"/>
    </xf>
    <xf numFmtId="4" fontId="10" fillId="0" borderId="37" xfId="1" applyNumberFormat="1" applyFont="1" applyFill="1" applyBorder="1" applyAlignment="1">
      <alignment horizontal="right"/>
    </xf>
    <xf numFmtId="0" fontId="10" fillId="0" borderId="30" xfId="1" applyFont="1" applyFill="1" applyBorder="1" applyAlignment="1">
      <alignment wrapText="1"/>
    </xf>
    <xf numFmtId="4" fontId="11" fillId="0" borderId="31" xfId="1" applyNumberFormat="1" applyFont="1" applyFill="1" applyBorder="1" applyAlignment="1">
      <alignment horizontal="right" vertical="center"/>
    </xf>
    <xf numFmtId="4" fontId="10" fillId="8" borderId="31" xfId="1" applyNumberFormat="1" applyFont="1" applyFill="1" applyBorder="1" applyAlignment="1">
      <alignment horizontal="right"/>
    </xf>
    <xf numFmtId="4" fontId="10" fillId="8" borderId="31" xfId="1" applyNumberFormat="1" applyFont="1" applyFill="1" applyBorder="1" applyAlignment="1">
      <alignment horizontal="right" vertical="center"/>
    </xf>
    <xf numFmtId="4" fontId="11" fillId="0" borderId="49" xfId="1" applyNumberFormat="1" applyFont="1" applyFill="1" applyBorder="1" applyAlignment="1">
      <alignment horizontal="right" vertical="center"/>
    </xf>
    <xf numFmtId="4" fontId="10" fillId="8" borderId="26" xfId="1" applyNumberFormat="1" applyFont="1" applyFill="1" applyBorder="1"/>
    <xf numFmtId="0" fontId="16" fillId="0" borderId="21" xfId="6" applyFont="1" applyFill="1" applyBorder="1" applyAlignment="1">
      <alignment vertical="center"/>
    </xf>
    <xf numFmtId="4" fontId="3" fillId="0" borderId="0" xfId="1" applyNumberFormat="1" applyFont="1"/>
    <xf numFmtId="4" fontId="10" fillId="0" borderId="31" xfId="1" applyNumberFormat="1" applyFont="1" applyFill="1" applyBorder="1" applyAlignment="1">
      <alignment horizontal="right" vertical="center"/>
    </xf>
    <xf numFmtId="4" fontId="9" fillId="0" borderId="31" xfId="1" applyNumberFormat="1" applyFont="1" applyFill="1" applyBorder="1" applyAlignment="1">
      <alignment horizontal="right" vertical="center"/>
    </xf>
    <xf numFmtId="4" fontId="30" fillId="0" borderId="0" xfId="1" applyNumberFormat="1" applyFont="1"/>
    <xf numFmtId="4" fontId="10" fillId="0" borderId="9" xfId="6" applyNumberFormat="1" applyFont="1" applyFill="1" applyBorder="1" applyAlignment="1">
      <alignment vertical="center"/>
    </xf>
    <xf numFmtId="4" fontId="10" fillId="0" borderId="9" xfId="6" applyNumberFormat="1" applyFont="1" applyFill="1" applyBorder="1"/>
    <xf numFmtId="164" fontId="10" fillId="8" borderId="6" xfId="6" applyNumberFormat="1" applyFont="1" applyFill="1" applyBorder="1" applyAlignment="1">
      <alignment vertical="center"/>
    </xf>
    <xf numFmtId="4" fontId="10" fillId="0" borderId="22" xfId="6" applyNumberFormat="1" applyFont="1" applyFill="1" applyBorder="1"/>
    <xf numFmtId="0" fontId="17" fillId="0" borderId="17" xfId="1" applyFont="1" applyBorder="1" applyAlignment="1">
      <alignment horizontal="left"/>
    </xf>
    <xf numFmtId="4" fontId="17" fillId="0" borderId="10" xfId="1" applyNumberFormat="1" applyFont="1" applyBorder="1"/>
    <xf numFmtId="0" fontId="17" fillId="0" borderId="18" xfId="1" applyFont="1" applyBorder="1"/>
    <xf numFmtId="4" fontId="17" fillId="0" borderId="9" xfId="1" applyNumberFormat="1" applyFont="1" applyBorder="1"/>
    <xf numFmtId="4" fontId="17" fillId="0" borderId="6" xfId="1" applyNumberFormat="1" applyFont="1" applyBorder="1"/>
    <xf numFmtId="0" fontId="10" fillId="0" borderId="0" xfId="1" applyFont="1" applyFill="1" applyBorder="1" applyAlignment="1">
      <alignment vertical="center" wrapText="1"/>
    </xf>
    <xf numFmtId="0" fontId="10" fillId="0" borderId="25" xfId="6" applyFont="1" applyFill="1" applyBorder="1" applyAlignment="1">
      <alignment horizontal="left" vertical="center" wrapText="1"/>
    </xf>
    <xf numFmtId="4" fontId="10" fillId="0" borderId="31" xfId="6" applyNumberFormat="1" applyFont="1" applyFill="1" applyBorder="1" applyAlignment="1">
      <alignment horizontal="right" vertical="center"/>
    </xf>
    <xf numFmtId="0" fontId="16" fillId="0" borderId="25" xfId="6" applyFont="1" applyFill="1" applyBorder="1" applyAlignment="1">
      <alignment horizontal="left" vertical="center"/>
    </xf>
    <xf numFmtId="0" fontId="10" fillId="0" borderId="30" xfId="6" applyFont="1" applyFill="1" applyBorder="1" applyAlignment="1">
      <alignment horizontal="left" vertical="center" wrapText="1"/>
    </xf>
    <xf numFmtId="4" fontId="11" fillId="0" borderId="54" xfId="1" applyNumberFormat="1" applyFont="1" applyFill="1" applyBorder="1" applyAlignment="1">
      <alignment horizontal="right" vertical="center"/>
    </xf>
    <xf numFmtId="4" fontId="10" fillId="0" borderId="37" xfId="1" applyNumberFormat="1" applyFont="1" applyFill="1" applyBorder="1" applyAlignment="1">
      <alignment vertical="center"/>
    </xf>
    <xf numFmtId="4" fontId="10" fillId="0" borderId="50" xfId="1" applyNumberFormat="1" applyFont="1" applyFill="1" applyBorder="1" applyAlignment="1">
      <alignment vertical="center"/>
    </xf>
    <xf numFmtId="4" fontId="54" fillId="0" borderId="0" xfId="6" applyNumberFormat="1" applyFont="1" applyFill="1" applyAlignment="1">
      <alignment vertical="top"/>
    </xf>
    <xf numFmtId="4" fontId="2" fillId="0" borderId="0" xfId="6" applyNumberFormat="1"/>
    <xf numFmtId="164" fontId="9" fillId="0" borderId="11" xfId="6" applyNumberFormat="1" applyFont="1" applyFill="1" applyBorder="1"/>
    <xf numFmtId="4" fontId="10" fillId="0" borderId="22" xfId="6" applyNumberFormat="1" applyFont="1" applyFill="1" applyBorder="1" applyAlignment="1">
      <alignment horizontal="right" vertical="center"/>
    </xf>
    <xf numFmtId="0" fontId="10" fillId="0" borderId="33" xfId="6" applyFont="1" applyFill="1" applyBorder="1" applyAlignment="1">
      <alignment vertical="center" wrapText="1"/>
    </xf>
    <xf numFmtId="4" fontId="2" fillId="8" borderId="0" xfId="6" applyNumberFormat="1" applyFont="1" applyFill="1" applyAlignment="1">
      <alignment vertical="center"/>
    </xf>
    <xf numFmtId="4" fontId="2" fillId="8" borderId="0" xfId="6" applyNumberFormat="1" applyFont="1" applyFill="1"/>
    <xf numFmtId="0" fontId="5" fillId="0" borderId="14" xfId="6" applyFont="1" applyFill="1" applyBorder="1" applyAlignment="1">
      <alignment horizontal="left"/>
    </xf>
    <xf numFmtId="0" fontId="22" fillId="0" borderId="14" xfId="6" applyFont="1" applyBorder="1"/>
    <xf numFmtId="4" fontId="12" fillId="0" borderId="14" xfId="6" applyNumberFormat="1" applyFont="1" applyBorder="1" applyAlignment="1">
      <alignment vertical="center"/>
    </xf>
    <xf numFmtId="0" fontId="9" fillId="0" borderId="55" xfId="6" applyFont="1" applyFill="1" applyBorder="1" applyAlignment="1">
      <alignment horizontal="left" vertical="center"/>
    </xf>
    <xf numFmtId="164" fontId="9" fillId="0" borderId="56" xfId="6" applyNumberFormat="1" applyFont="1" applyFill="1" applyBorder="1" applyAlignment="1">
      <alignment vertical="center"/>
    </xf>
    <xf numFmtId="4" fontId="4" fillId="4" borderId="0" xfId="1" applyNumberFormat="1" applyFont="1" applyFill="1" applyAlignment="1">
      <alignment horizontal="left"/>
    </xf>
    <xf numFmtId="4" fontId="2" fillId="0" borderId="0" xfId="6" applyNumberFormat="1" applyFont="1"/>
    <xf numFmtId="4" fontId="10" fillId="0" borderId="36" xfId="1" applyNumberFormat="1" applyFont="1" applyFill="1" applyBorder="1" applyAlignment="1">
      <alignment horizontal="right" vertical="center"/>
    </xf>
    <xf numFmtId="0" fontId="10" fillId="0" borderId="15" xfId="1" applyFont="1" applyFill="1" applyBorder="1" applyAlignment="1">
      <alignment wrapText="1"/>
    </xf>
    <xf numFmtId="4" fontId="10" fillId="0" borderId="13" xfId="1" applyNumberFormat="1" applyFont="1" applyFill="1" applyBorder="1" applyAlignment="1">
      <alignment vertical="center"/>
    </xf>
    <xf numFmtId="164" fontId="10" fillId="0" borderId="5" xfId="1" applyNumberFormat="1" applyFont="1" applyFill="1" applyBorder="1" applyAlignment="1">
      <alignment vertical="center"/>
    </xf>
    <xf numFmtId="0" fontId="10" fillId="0" borderId="30" xfId="6" applyFont="1" applyFill="1" applyBorder="1" applyAlignment="1">
      <alignment vertical="center" wrapText="1"/>
    </xf>
    <xf numFmtId="0" fontId="10" fillId="0" borderId="15" xfId="6" applyFont="1" applyFill="1" applyBorder="1" applyAlignment="1">
      <alignment vertical="center" wrapText="1"/>
    </xf>
    <xf numFmtId="0" fontId="10" fillId="0" borderId="21" xfId="6" applyFont="1" applyFill="1" applyBorder="1" applyAlignment="1">
      <alignment vertical="center" wrapText="1"/>
    </xf>
    <xf numFmtId="0" fontId="10" fillId="0" borderId="25" xfId="6" applyFont="1" applyFill="1" applyBorder="1" applyAlignment="1">
      <alignment vertical="center" wrapText="1"/>
    </xf>
    <xf numFmtId="0" fontId="16" fillId="0" borderId="25" xfId="6" applyFont="1" applyFill="1" applyBorder="1" applyAlignment="1">
      <alignment vertical="center"/>
    </xf>
    <xf numFmtId="0" fontId="16" fillId="0" borderId="15" xfId="6" applyFont="1" applyFill="1" applyBorder="1" applyAlignment="1">
      <alignment vertical="center"/>
    </xf>
    <xf numFmtId="0" fontId="10" fillId="0" borderId="23" xfId="6" applyFont="1" applyFill="1" applyBorder="1" applyAlignment="1">
      <alignment vertical="center" wrapText="1"/>
    </xf>
    <xf numFmtId="0" fontId="10" fillId="0" borderId="57" xfId="6" applyFont="1" applyFill="1" applyBorder="1" applyAlignment="1">
      <alignment vertical="center" wrapText="1"/>
    </xf>
    <xf numFmtId="164" fontId="10" fillId="8" borderId="27" xfId="6" applyNumberFormat="1" applyFont="1" applyFill="1" applyBorder="1" applyAlignment="1">
      <alignment vertical="center"/>
    </xf>
    <xf numFmtId="0" fontId="2" fillId="0" borderId="1" xfId="6" applyFill="1" applyBorder="1" applyAlignment="1">
      <alignment horizontal="center" vertical="center"/>
    </xf>
    <xf numFmtId="0" fontId="2" fillId="0" borderId="16" xfId="6" applyFill="1" applyBorder="1" applyAlignment="1">
      <alignment horizontal="center" vertical="center"/>
    </xf>
    <xf numFmtId="4" fontId="9" fillId="0" borderId="58" xfId="6" applyNumberFormat="1" applyFont="1" applyFill="1" applyBorder="1" applyAlignment="1">
      <alignment horizontal="right" vertical="center"/>
    </xf>
    <xf numFmtId="0" fontId="10" fillId="0" borderId="21" xfId="6" applyFont="1" applyFill="1" applyBorder="1" applyAlignment="1">
      <alignment vertical="center"/>
    </xf>
    <xf numFmtId="0" fontId="10" fillId="0" borderId="21" xfId="1" applyFont="1" applyFill="1" applyBorder="1" applyAlignment="1">
      <alignment vertical="center"/>
    </xf>
    <xf numFmtId="4" fontId="10" fillId="0" borderId="4" xfId="6" applyNumberFormat="1" applyFont="1" applyFill="1" applyBorder="1" applyAlignment="1">
      <alignment horizontal="right"/>
    </xf>
    <xf numFmtId="164" fontId="10" fillId="0" borderId="5" xfId="6" applyNumberFormat="1" applyFont="1" applyFill="1" applyBorder="1" applyAlignment="1">
      <alignment vertical="center"/>
    </xf>
    <xf numFmtId="0" fontId="16" fillId="0" borderId="18" xfId="6" applyFont="1" applyFill="1" applyBorder="1" applyAlignment="1">
      <alignment vertical="center"/>
    </xf>
    <xf numFmtId="4" fontId="10" fillId="0" borderId="9" xfId="6" applyNumberFormat="1" applyFont="1" applyFill="1" applyBorder="1" applyAlignment="1">
      <alignment horizontal="right"/>
    </xf>
    <xf numFmtId="164" fontId="10" fillId="0" borderId="6" xfId="6" applyNumberFormat="1" applyFont="1" applyFill="1" applyBorder="1" applyAlignment="1">
      <alignment vertical="center"/>
    </xf>
    <xf numFmtId="4" fontId="3" fillId="0" borderId="0" xfId="6" applyNumberFormat="1" applyFont="1" applyFill="1" applyBorder="1" applyAlignment="1">
      <alignment horizontal="right" vertical="center"/>
    </xf>
    <xf numFmtId="0" fontId="58" fillId="0" borderId="0" xfId="6" applyFont="1"/>
    <xf numFmtId="4" fontId="2" fillId="0" borderId="0" xfId="6" applyNumberFormat="1" applyBorder="1"/>
    <xf numFmtId="4" fontId="12" fillId="0" borderId="0" xfId="6" applyNumberFormat="1" applyFont="1" applyBorder="1" applyAlignment="1">
      <alignment vertical="center"/>
    </xf>
    <xf numFmtId="0" fontId="9" fillId="2" borderId="8" xfId="6" applyFont="1" applyFill="1" applyBorder="1" applyAlignment="1">
      <alignment horizontal="left" vertical="center"/>
    </xf>
    <xf numFmtId="0" fontId="9" fillId="2" borderId="0" xfId="6" applyFont="1" applyFill="1" applyBorder="1" applyAlignment="1">
      <alignment horizontal="left" vertical="center"/>
    </xf>
    <xf numFmtId="0" fontId="10" fillId="0" borderId="30" xfId="6" applyFont="1" applyFill="1" applyBorder="1" applyAlignment="1">
      <alignment vertical="center" wrapText="1"/>
    </xf>
    <xf numFmtId="0" fontId="10" fillId="0" borderId="33" xfId="6" applyFont="1" applyFill="1" applyBorder="1" applyAlignment="1">
      <alignment vertical="center" wrapText="1"/>
    </xf>
    <xf numFmtId="0" fontId="10" fillId="8" borderId="25" xfId="1" applyFont="1" applyFill="1" applyBorder="1" applyAlignment="1">
      <alignment vertical="center"/>
    </xf>
    <xf numFmtId="0" fontId="51" fillId="0" borderId="0" xfId="1" applyFont="1" applyBorder="1" applyAlignment="1">
      <alignment wrapText="1"/>
    </xf>
    <xf numFmtId="0" fontId="8" fillId="0" borderId="0" xfId="1" applyFont="1" applyBorder="1" applyAlignment="1">
      <alignment horizontal="right" wrapText="1"/>
    </xf>
    <xf numFmtId="0" fontId="59" fillId="8" borderId="0" xfId="6" applyFont="1" applyFill="1"/>
    <xf numFmtId="4" fontId="59" fillId="8" borderId="0" xfId="6" applyNumberFormat="1" applyFont="1" applyFill="1" applyBorder="1"/>
    <xf numFmtId="0" fontId="9" fillId="0" borderId="59" xfId="6" applyFont="1" applyFill="1" applyBorder="1" applyAlignment="1">
      <alignment horizontal="left" vertical="center"/>
    </xf>
    <xf numFmtId="4" fontId="9" fillId="0" borderId="58" xfId="6" applyNumberFormat="1" applyFont="1" applyFill="1" applyBorder="1" applyAlignment="1">
      <alignment horizontal="right"/>
    </xf>
    <xf numFmtId="164" fontId="12" fillId="0" borderId="56" xfId="6" applyNumberFormat="1" applyFont="1" applyFill="1" applyBorder="1" applyAlignment="1">
      <alignment vertical="center"/>
    </xf>
    <xf numFmtId="4" fontId="10" fillId="0" borderId="29" xfId="1" applyNumberFormat="1" applyFont="1" applyFill="1" applyBorder="1" applyAlignment="1">
      <alignment vertical="center"/>
    </xf>
    <xf numFmtId="0" fontId="42" fillId="9" borderId="0" xfId="0" applyFont="1" applyFill="1"/>
    <xf numFmtId="4" fontId="42" fillId="0" borderId="0" xfId="0" applyNumberFormat="1" applyFont="1" applyFill="1"/>
    <xf numFmtId="0" fontId="10" fillId="0" borderId="21" xfId="6" applyFont="1" applyFill="1" applyBorder="1" applyAlignment="1">
      <alignment horizontal="left" vertical="center" wrapText="1"/>
    </xf>
    <xf numFmtId="0" fontId="10" fillId="0" borderId="21" xfId="6" applyFont="1" applyFill="1" applyBorder="1" applyAlignment="1">
      <alignment vertical="center" wrapText="1"/>
    </xf>
    <xf numFmtId="0" fontId="10" fillId="0" borderId="33" xfId="6" applyFont="1" applyFill="1" applyBorder="1" applyAlignment="1">
      <alignment vertical="center" wrapText="1"/>
    </xf>
    <xf numFmtId="0" fontId="10" fillId="8" borderId="21" xfId="6" applyFont="1" applyFill="1" applyBorder="1" applyAlignment="1">
      <alignment horizontal="left" vertical="center" wrapText="1"/>
    </xf>
    <xf numFmtId="0" fontId="10" fillId="0" borderId="15" xfId="6" applyFont="1" applyFill="1" applyBorder="1" applyAlignment="1">
      <alignment vertical="center" wrapText="1"/>
    </xf>
    <xf numFmtId="0" fontId="2" fillId="0" borderId="30" xfId="6" applyFont="1" applyBorder="1" applyAlignment="1">
      <alignment vertical="center" wrapText="1"/>
    </xf>
    <xf numFmtId="0" fontId="10" fillId="0" borderId="21" xfId="1" applyFont="1" applyFill="1" applyBorder="1" applyAlignment="1">
      <alignment vertical="center"/>
    </xf>
    <xf numFmtId="0" fontId="9" fillId="0" borderId="15" xfId="6" applyFont="1" applyBorder="1" applyAlignment="1">
      <alignment horizontal="left" vertical="center"/>
    </xf>
    <xf numFmtId="4" fontId="9" fillId="0" borderId="13" xfId="6" applyNumberFormat="1" applyFont="1" applyBorder="1" applyAlignment="1">
      <alignment horizontal="right" vertical="center"/>
    </xf>
    <xf numFmtId="164" fontId="9" fillId="0" borderId="5" xfId="6" applyNumberFormat="1" applyFont="1" applyBorder="1" applyAlignment="1">
      <alignment vertical="center"/>
    </xf>
    <xf numFmtId="0" fontId="5" fillId="0" borderId="0" xfId="6" applyFont="1" applyAlignment="1">
      <alignment horizontal="left"/>
    </xf>
    <xf numFmtId="0" fontId="10" fillId="0" borderId="21" xfId="6" applyFont="1" applyBorder="1"/>
    <xf numFmtId="4" fontId="10" fillId="0" borderId="22" xfId="6" applyNumberFormat="1" applyFont="1" applyBorder="1"/>
    <xf numFmtId="4" fontId="10" fillId="0" borderId="22" xfId="6" applyNumberFormat="1" applyFont="1" applyBorder="1" applyAlignment="1">
      <alignment horizontal="right"/>
    </xf>
    <xf numFmtId="164" fontId="10" fillId="0" borderId="24" xfId="6" applyNumberFormat="1" applyFont="1" applyBorder="1" applyAlignment="1">
      <alignment vertical="center"/>
    </xf>
    <xf numFmtId="0" fontId="2" fillId="0" borderId="0" xfId="6" applyAlignment="1">
      <alignment horizontal="left"/>
    </xf>
    <xf numFmtId="0" fontId="9" fillId="0" borderId="21" xfId="6" applyFont="1" applyBorder="1" applyAlignment="1">
      <alignment horizontal="left" vertical="center"/>
    </xf>
    <xf numFmtId="0" fontId="9" fillId="0" borderId="25" xfId="6" applyFont="1" applyBorder="1" applyAlignment="1">
      <alignment horizontal="left" vertical="center"/>
    </xf>
    <xf numFmtId="4" fontId="10" fillId="0" borderId="26" xfId="6" applyNumberFormat="1" applyFont="1" applyBorder="1"/>
    <xf numFmtId="4" fontId="10" fillId="0" borderId="26" xfId="6" applyNumberFormat="1" applyFont="1" applyBorder="1" applyAlignment="1">
      <alignment horizontal="right"/>
    </xf>
    <xf numFmtId="164" fontId="10" fillId="0" borderId="27" xfId="6" applyNumberFormat="1" applyFont="1" applyBorder="1" applyAlignment="1">
      <alignment vertical="center"/>
    </xf>
    <xf numFmtId="4" fontId="34" fillId="0" borderId="0" xfId="6" applyNumberFormat="1" applyFont="1"/>
    <xf numFmtId="0" fontId="10" fillId="0" borderId="30" xfId="6" applyFont="1" applyFill="1" applyBorder="1" applyAlignment="1">
      <alignment vertical="center" wrapText="1"/>
    </xf>
    <xf numFmtId="0" fontId="10" fillId="0" borderId="33" xfId="6" applyFont="1" applyFill="1" applyBorder="1" applyAlignment="1">
      <alignment vertical="center" wrapText="1"/>
    </xf>
    <xf numFmtId="0" fontId="10" fillId="0" borderId="30" xfId="6" applyFont="1" applyFill="1" applyBorder="1" applyAlignment="1">
      <alignment horizontal="left" vertical="center" wrapText="1"/>
    </xf>
    <xf numFmtId="0" fontId="16" fillId="0" borderId="21" xfId="6" applyFont="1" applyFill="1" applyBorder="1" applyAlignment="1">
      <alignment vertical="center"/>
    </xf>
    <xf numFmtId="4" fontId="11" fillId="0" borderId="9" xfId="6" applyNumberFormat="1" applyFont="1" applyFill="1" applyBorder="1" applyAlignment="1">
      <alignment horizontal="right" vertical="center"/>
    </xf>
    <xf numFmtId="0" fontId="10" fillId="0" borderId="0" xfId="6" applyFont="1" applyFill="1" applyBorder="1" applyAlignment="1">
      <alignment horizontal="left" vertical="center" wrapText="1"/>
    </xf>
    <xf numFmtId="4" fontId="10" fillId="0" borderId="0" xfId="6" applyNumberFormat="1" applyFont="1" applyFill="1" applyBorder="1" applyAlignment="1">
      <alignment horizontal="right" vertical="center"/>
    </xf>
    <xf numFmtId="0" fontId="10" fillId="0" borderId="15" xfId="1" applyFont="1" applyFill="1" applyBorder="1" applyAlignment="1">
      <alignment vertical="center"/>
    </xf>
    <xf numFmtId="4" fontId="25" fillId="0" borderId="0" xfId="1" applyNumberFormat="1" applyFont="1"/>
    <xf numFmtId="0" fontId="26" fillId="9" borderId="0" xfId="0" applyFont="1" applyFill="1" applyAlignment="1">
      <alignment vertical="center"/>
    </xf>
    <xf numFmtId="0" fontId="26" fillId="9" borderId="0" xfId="0" applyFont="1" applyFill="1"/>
    <xf numFmtId="0" fontId="16" fillId="0" borderId="21" xfId="6" applyFont="1" applyFill="1" applyBorder="1" applyAlignment="1">
      <alignment vertical="center"/>
    </xf>
    <xf numFmtId="0" fontId="16" fillId="0" borderId="33" xfId="6" applyFont="1" applyFill="1" applyBorder="1" applyAlignment="1">
      <alignment vertical="center"/>
    </xf>
    <xf numFmtId="4" fontId="4" fillId="0" borderId="0" xfId="1" applyNumberFormat="1" applyFont="1" applyBorder="1"/>
    <xf numFmtId="164" fontId="9" fillId="0" borderId="11" xfId="1" applyNumberFormat="1" applyFont="1" applyFill="1" applyBorder="1"/>
    <xf numFmtId="164" fontId="9" fillId="0" borderId="5" xfId="1" applyNumberFormat="1" applyFont="1" applyFill="1" applyBorder="1"/>
    <xf numFmtId="0" fontId="17" fillId="0" borderId="43" xfId="1" applyFont="1" applyBorder="1" applyAlignment="1">
      <alignment horizontal="center"/>
    </xf>
    <xf numFmtId="0" fontId="17" fillId="0" borderId="44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51" fillId="0" borderId="0" xfId="1" applyFont="1" applyBorder="1" applyAlignment="1">
      <alignment horizontal="left" wrapText="1"/>
    </xf>
    <xf numFmtId="0" fontId="10" fillId="0" borderId="30" xfId="1" applyFont="1" applyFill="1" applyBorder="1" applyAlignment="1">
      <alignment vertical="center"/>
    </xf>
    <xf numFmtId="0" fontId="10" fillId="0" borderId="33" xfId="1" applyFont="1" applyFill="1" applyBorder="1" applyAlignment="1">
      <alignment vertical="center"/>
    </xf>
    <xf numFmtId="0" fontId="10" fillId="0" borderId="30" xfId="6" applyFont="1" applyFill="1" applyBorder="1" applyAlignment="1">
      <alignment vertical="center" wrapText="1"/>
    </xf>
    <xf numFmtId="0" fontId="10" fillId="0" borderId="18" xfId="6" applyFont="1" applyFill="1" applyBorder="1" applyAlignment="1">
      <alignment vertical="center" wrapText="1"/>
    </xf>
    <xf numFmtId="0" fontId="16" fillId="0" borderId="30" xfId="6" applyFont="1" applyFill="1" applyBorder="1" applyAlignment="1">
      <alignment horizontal="left" vertical="center"/>
    </xf>
    <xf numFmtId="0" fontId="16" fillId="0" borderId="33" xfId="6" applyFont="1" applyFill="1" applyBorder="1" applyAlignment="1">
      <alignment horizontal="left" vertical="center"/>
    </xf>
    <xf numFmtId="0" fontId="16" fillId="0" borderId="18" xfId="6" applyFont="1" applyFill="1" applyBorder="1" applyAlignment="1">
      <alignment horizontal="left" vertical="center"/>
    </xf>
    <xf numFmtId="0" fontId="10" fillId="0" borderId="33" xfId="6" applyFont="1" applyFill="1" applyBorder="1" applyAlignment="1">
      <alignment vertical="center" wrapText="1"/>
    </xf>
    <xf numFmtId="0" fontId="10" fillId="0" borderId="21" xfId="6" applyFont="1" applyFill="1" applyBorder="1" applyAlignment="1">
      <alignment vertical="center" wrapText="1"/>
    </xf>
    <xf numFmtId="0" fontId="2" fillId="0" borderId="30" xfId="6" applyFont="1" applyBorder="1" applyAlignment="1">
      <alignment vertical="center" wrapText="1"/>
    </xf>
    <xf numFmtId="0" fontId="2" fillId="0" borderId="33" xfId="6" applyFont="1" applyBorder="1" applyAlignment="1">
      <alignment vertical="center" wrapText="1"/>
    </xf>
    <xf numFmtId="0" fontId="16" fillId="0" borderId="21" xfId="6" applyFont="1" applyFill="1" applyBorder="1" applyAlignment="1">
      <alignment vertical="center"/>
    </xf>
    <xf numFmtId="0" fontId="16" fillId="0" borderId="15" xfId="6" applyFont="1" applyFill="1" applyBorder="1" applyAlignment="1">
      <alignment vertical="center"/>
    </xf>
    <xf numFmtId="0" fontId="16" fillId="0" borderId="33" xfId="6" applyFont="1" applyFill="1" applyBorder="1" applyAlignment="1">
      <alignment vertical="center"/>
    </xf>
    <xf numFmtId="0" fontId="10" fillId="0" borderId="30" xfId="6" applyFont="1" applyFill="1" applyBorder="1" applyAlignment="1">
      <alignment horizontal="left" vertical="center" wrapText="1"/>
    </xf>
    <xf numFmtId="0" fontId="10" fillId="0" borderId="15" xfId="6" applyFont="1" applyFill="1" applyBorder="1" applyAlignment="1">
      <alignment horizontal="left" vertical="center" wrapText="1"/>
    </xf>
    <xf numFmtId="0" fontId="10" fillId="8" borderId="15" xfId="6" applyFont="1" applyFill="1" applyBorder="1" applyAlignment="1">
      <alignment horizontal="left" vertical="center"/>
    </xf>
    <xf numFmtId="0" fontId="10" fillId="8" borderId="18" xfId="6" applyFont="1" applyFill="1" applyBorder="1" applyAlignment="1">
      <alignment horizontal="left" vertical="center"/>
    </xf>
    <xf numFmtId="0" fontId="10" fillId="8" borderId="21" xfId="6" applyFont="1" applyFill="1" applyBorder="1" applyAlignment="1">
      <alignment vertical="center" wrapText="1"/>
    </xf>
    <xf numFmtId="0" fontId="10" fillId="8" borderId="25" xfId="6" applyFont="1" applyFill="1" applyBorder="1" applyAlignment="1">
      <alignment vertical="center" wrapText="1"/>
    </xf>
    <xf numFmtId="0" fontId="10" fillId="8" borderId="21" xfId="6" applyFont="1" applyFill="1" applyBorder="1" applyAlignment="1">
      <alignment horizontal="left" vertical="center" wrapText="1"/>
    </xf>
    <xf numFmtId="0" fontId="10" fillId="8" borderId="30" xfId="6" applyFont="1" applyFill="1" applyBorder="1" applyAlignment="1">
      <alignment vertical="center" wrapText="1"/>
    </xf>
    <xf numFmtId="0" fontId="10" fillId="8" borderId="33" xfId="6" applyFont="1" applyFill="1" applyBorder="1" applyAlignment="1">
      <alignment vertical="center" wrapText="1"/>
    </xf>
    <xf numFmtId="0" fontId="10" fillId="0" borderId="33" xfId="6" applyFont="1" applyFill="1" applyBorder="1" applyAlignment="1">
      <alignment horizontal="left" vertical="center" wrapText="1"/>
    </xf>
    <xf numFmtId="0" fontId="10" fillId="0" borderId="21" xfId="1" applyFont="1" applyFill="1" applyBorder="1" applyAlignment="1">
      <alignment vertical="center"/>
    </xf>
    <xf numFmtId="0" fontId="10" fillId="0" borderId="21" xfId="6" applyFont="1" applyFill="1" applyBorder="1" applyAlignment="1">
      <alignment horizontal="left" vertical="center" wrapText="1"/>
    </xf>
    <xf numFmtId="0" fontId="10" fillId="0" borderId="18" xfId="6" applyFont="1" applyFill="1" applyBorder="1" applyAlignment="1">
      <alignment horizontal="left" vertical="center" wrapText="1"/>
    </xf>
  </cellXfs>
  <cellStyles count="9">
    <cellStyle name="Normální" xfId="0" builtinId="0"/>
    <cellStyle name="Normální 2" xfId="1" xr:uid="{00000000-0005-0000-0000-000001000000}"/>
    <cellStyle name="normální 2 2" xfId="4" xr:uid="{00000000-0005-0000-0000-000002000000}"/>
    <cellStyle name="Normální 2 3" xfId="6" xr:uid="{00000000-0005-0000-0000-000003000000}"/>
    <cellStyle name="Normální 6" xfId="5" xr:uid="{00000000-0005-0000-0000-000004000000}"/>
    <cellStyle name="normální_Investice 2005-sociální, zdravotní, kutura 2" xfId="2" xr:uid="{00000000-0005-0000-0000-000005000000}"/>
    <cellStyle name="normální_Investice 2005-sociální, zdravotní, kutura 2 2" xfId="8" xr:uid="{00000000-0005-0000-0000-000006000000}"/>
    <cellStyle name="normální_Sociální - investice a opravy 2009 - sumarizace vč. prior - 10-12-2008" xfId="3" xr:uid="{00000000-0005-0000-0000-000007000000}"/>
    <cellStyle name="normální_Sociální - investice a opravy 2009 - sumarizace vč. prior - 10-12-2008 2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P86"/>
  <sheetViews>
    <sheetView showGridLines="0" tabSelected="1" view="pageBreakPreview" zoomScaleNormal="100" zoomScaleSheetLayoutView="100" workbookViewId="0">
      <selection activeCell="P7" sqref="P7"/>
    </sheetView>
  </sheetViews>
  <sheetFormatPr defaultColWidth="9.140625" defaultRowHeight="12.75" x14ac:dyDescent="0.2"/>
  <cols>
    <col min="1" max="1" width="55.85546875" style="5" customWidth="1"/>
    <col min="2" max="2" width="19" style="5" customWidth="1"/>
    <col min="3" max="3" width="20.140625" style="5" customWidth="1"/>
    <col min="4" max="4" width="19.42578125" style="5" customWidth="1"/>
    <col min="5" max="5" width="3.28515625" style="5" customWidth="1"/>
    <col min="6" max="6" width="22.5703125" style="5" hidden="1" customWidth="1"/>
    <col min="7" max="7" width="13.5703125" style="5" hidden="1" customWidth="1"/>
    <col min="8" max="8" width="16.28515625" style="5" hidden="1" customWidth="1"/>
    <col min="9" max="9" width="18.85546875" style="5" hidden="1" customWidth="1"/>
    <col min="10" max="10" width="17.85546875" style="5" hidden="1" customWidth="1"/>
    <col min="11" max="11" width="19.42578125" style="5" hidden="1" customWidth="1"/>
    <col min="12" max="12" width="5" style="5" customWidth="1"/>
    <col min="13" max="13" width="3.85546875" style="5" customWidth="1"/>
    <col min="14" max="14" width="17.28515625" style="5" bestFit="1" customWidth="1"/>
    <col min="15" max="15" width="17.42578125" style="5" customWidth="1"/>
    <col min="16" max="16" width="18.140625" style="5" customWidth="1"/>
    <col min="17" max="16384" width="9.140625" style="5"/>
  </cols>
  <sheetData>
    <row r="1" spans="1:9" ht="18" x14ac:dyDescent="0.25">
      <c r="A1" s="6" t="s">
        <v>404</v>
      </c>
      <c r="B1" s="7"/>
      <c r="C1" s="7"/>
      <c r="D1" s="7"/>
    </row>
    <row r="2" spans="1:9" ht="18.75" thickBot="1" x14ac:dyDescent="0.3">
      <c r="A2" s="8"/>
      <c r="B2" s="9"/>
      <c r="C2" s="9"/>
      <c r="D2" s="10" t="s">
        <v>18</v>
      </c>
    </row>
    <row r="3" spans="1:9" ht="14.25" thickTop="1" thickBot="1" x14ac:dyDescent="0.25">
      <c r="A3" s="11"/>
      <c r="B3" s="12" t="s">
        <v>0</v>
      </c>
      <c r="C3" s="13" t="s">
        <v>1</v>
      </c>
      <c r="D3" s="14" t="s">
        <v>4</v>
      </c>
    </row>
    <row r="4" spans="1:9" ht="16.5" thickTop="1" x14ac:dyDescent="0.25">
      <c r="A4" s="152" t="s">
        <v>7</v>
      </c>
      <c r="B4" s="153">
        <f>SUM(B5:B6)</f>
        <v>225354000</v>
      </c>
      <c r="C4" s="153">
        <f>SUM(C5:C6)</f>
        <v>354579270.56999993</v>
      </c>
      <c r="D4" s="154">
        <f>SUM(D5:D6)</f>
        <v>263096193.47</v>
      </c>
    </row>
    <row r="5" spans="1:9" x14ac:dyDescent="0.2">
      <c r="A5" s="150" t="s">
        <v>25</v>
      </c>
      <c r="B5" s="132">
        <f>'8a) OK 2023'!B422</f>
        <v>128057000</v>
      </c>
      <c r="C5" s="132">
        <f>'8a) OK 2023'!C422</f>
        <v>240709718.13</v>
      </c>
      <c r="D5" s="151">
        <f>'8a) OK 2023'!D422</f>
        <v>168252388.09999999</v>
      </c>
    </row>
    <row r="6" spans="1:9" x14ac:dyDescent="0.2">
      <c r="A6" s="150" t="s">
        <v>97</v>
      </c>
      <c r="B6" s="132">
        <f>'8b) Projekty spolufinancované'!B284</f>
        <v>97297000</v>
      </c>
      <c r="C6" s="132">
        <f>'8b) Projekty spolufinancované'!C284</f>
        <v>113869552.43999997</v>
      </c>
      <c r="D6" s="151">
        <f>'8b) Projekty spolufinancované'!D284</f>
        <v>94843805.370000005</v>
      </c>
    </row>
    <row r="7" spans="1:9" ht="15.75" x14ac:dyDescent="0.25">
      <c r="A7" s="152" t="s">
        <v>9</v>
      </c>
      <c r="B7" s="153">
        <f>SUM(B8:B9)</f>
        <v>328375000</v>
      </c>
      <c r="C7" s="153">
        <f>SUM(C8:C9)</f>
        <v>481030499.11000001</v>
      </c>
      <c r="D7" s="154">
        <f>SUM(D8:D9)</f>
        <v>370101262.07000005</v>
      </c>
    </row>
    <row r="8" spans="1:9" x14ac:dyDescent="0.2">
      <c r="A8" s="150" t="s">
        <v>25</v>
      </c>
      <c r="B8" s="132">
        <f>'8a) OK 2023'!B423</f>
        <v>81242000</v>
      </c>
      <c r="C8" s="132">
        <f>'8a) OK 2023'!C423</f>
        <v>123544647.16</v>
      </c>
      <c r="D8" s="151">
        <f>'8a) OK 2023'!D423</f>
        <v>92899226.289999992</v>
      </c>
      <c r="G8" s="16"/>
      <c r="H8" s="17"/>
      <c r="I8" s="18"/>
    </row>
    <row r="9" spans="1:9" x14ac:dyDescent="0.2">
      <c r="A9" s="150" t="s">
        <v>97</v>
      </c>
      <c r="B9" s="132">
        <f>'8b) Projekty spolufinancované'!B285</f>
        <v>247133000</v>
      </c>
      <c r="C9" s="132">
        <f>'8b) Projekty spolufinancované'!C285</f>
        <v>357485851.95000005</v>
      </c>
      <c r="D9" s="151">
        <f>'8b) Projekty spolufinancované'!D285</f>
        <v>277202035.78000003</v>
      </c>
      <c r="G9" s="16"/>
      <c r="H9" s="17"/>
      <c r="I9" s="18"/>
    </row>
    <row r="10" spans="1:9" ht="15.75" x14ac:dyDescent="0.25">
      <c r="A10" s="152" t="s">
        <v>8</v>
      </c>
      <c r="B10" s="153">
        <f>SUM(B11:B12)</f>
        <v>107473000</v>
      </c>
      <c r="C10" s="153">
        <f>SUM(C11:C12)</f>
        <v>140540196.56999999</v>
      </c>
      <c r="D10" s="154">
        <f>SUM(D11:D12)</f>
        <v>126776726.72</v>
      </c>
    </row>
    <row r="11" spans="1:9" x14ac:dyDescent="0.2">
      <c r="A11" s="150" t="s">
        <v>25</v>
      </c>
      <c r="B11" s="132">
        <f>'8a) OK 2023'!B424</f>
        <v>68380000</v>
      </c>
      <c r="C11" s="132">
        <f>'8a) OK 2023'!C424</f>
        <v>98225833.949999988</v>
      </c>
      <c r="D11" s="151">
        <f>'8a) OK 2023'!D424</f>
        <v>85303697.969999999</v>
      </c>
    </row>
    <row r="12" spans="1:9" x14ac:dyDescent="0.2">
      <c r="A12" s="150" t="s">
        <v>97</v>
      </c>
      <c r="B12" s="132">
        <f>'8b) Projekty spolufinancované'!B286</f>
        <v>39093000</v>
      </c>
      <c r="C12" s="132">
        <f>'8b) Projekty spolufinancované'!C286</f>
        <v>42314362.619999997</v>
      </c>
      <c r="D12" s="151">
        <f>'8b) Projekty spolufinancované'!D286</f>
        <v>41473028.75</v>
      </c>
    </row>
    <row r="13" spans="1:9" ht="15.75" x14ac:dyDescent="0.25">
      <c r="A13" s="152" t="s">
        <v>11</v>
      </c>
      <c r="B13" s="153">
        <f>SUM(B14:B15)</f>
        <v>438572000</v>
      </c>
      <c r="C13" s="153">
        <f>SUM(C14:C15)</f>
        <v>741114828.26999998</v>
      </c>
      <c r="D13" s="154">
        <f>SUM(D14:D15)</f>
        <v>686294317.99000001</v>
      </c>
    </row>
    <row r="14" spans="1:9" x14ac:dyDescent="0.2">
      <c r="A14" s="150" t="s">
        <v>25</v>
      </c>
      <c r="B14" s="132">
        <f>'8a) OK 2023'!B425</f>
        <v>317479000</v>
      </c>
      <c r="C14" s="132">
        <f>'8a) OK 2023'!C425</f>
        <v>349394393.48000002</v>
      </c>
      <c r="D14" s="151">
        <f>'8a) OK 2023'!D425</f>
        <v>303285849.32000005</v>
      </c>
    </row>
    <row r="15" spans="1:9" x14ac:dyDescent="0.2">
      <c r="A15" s="150" t="s">
        <v>97</v>
      </c>
      <c r="B15" s="132">
        <f>'8b) Projekty spolufinancované'!B287</f>
        <v>121093000</v>
      </c>
      <c r="C15" s="132">
        <f>'8b) Projekty spolufinancované'!C287</f>
        <v>391720434.78999996</v>
      </c>
      <c r="D15" s="151">
        <f>'8b) Projekty spolufinancované'!D287</f>
        <v>383008468.67000002</v>
      </c>
    </row>
    <row r="16" spans="1:9" ht="15.75" x14ac:dyDescent="0.25">
      <c r="A16" s="152" t="s">
        <v>10</v>
      </c>
      <c r="B16" s="153">
        <f>SUM(B17:B19)</f>
        <v>136315000</v>
      </c>
      <c r="C16" s="153">
        <f>SUM(C17:C19)</f>
        <v>168709970.59</v>
      </c>
      <c r="D16" s="154">
        <f>SUM(D17:D19)</f>
        <v>145293248.41000003</v>
      </c>
    </row>
    <row r="17" spans="1:4" x14ac:dyDescent="0.2">
      <c r="A17" s="150" t="s">
        <v>25</v>
      </c>
      <c r="B17" s="132">
        <f>'8a) OK 2023'!B426</f>
        <v>44138000</v>
      </c>
      <c r="C17" s="132">
        <f>'8a) OK 2023'!C426</f>
        <v>58293375.600000001</v>
      </c>
      <c r="D17" s="151">
        <f>'8a) OK 2023'!D426</f>
        <v>49238661.600000001</v>
      </c>
    </row>
    <row r="18" spans="1:4" x14ac:dyDescent="0.2">
      <c r="A18" s="150" t="s">
        <v>97</v>
      </c>
      <c r="B18" s="132">
        <f>'8b) Projekty spolufinancované'!B288</f>
        <v>62770000</v>
      </c>
      <c r="C18" s="132">
        <f>'8b) Projekty spolufinancované'!C288</f>
        <v>76887815.610000014</v>
      </c>
      <c r="D18" s="151">
        <f>'8b) Projekty spolufinancované'!D288</f>
        <v>71694763.030000016</v>
      </c>
    </row>
    <row r="19" spans="1:4" x14ac:dyDescent="0.2">
      <c r="A19" s="150" t="s">
        <v>80</v>
      </c>
      <c r="B19" s="132">
        <f>'8c) SMN'!B26</f>
        <v>29407000</v>
      </c>
      <c r="C19" s="132">
        <f>'8c) SMN'!C26</f>
        <v>33528779.379999999</v>
      </c>
      <c r="D19" s="151">
        <f>'8c) SMN'!D26</f>
        <v>24359823.779999994</v>
      </c>
    </row>
    <row r="20" spans="1:4" ht="15.75" x14ac:dyDescent="0.25">
      <c r="A20" s="152" t="s">
        <v>244</v>
      </c>
      <c r="B20" s="153">
        <f>SUM(B21)</f>
        <v>2979000</v>
      </c>
      <c r="C20" s="153">
        <f>SUM(C21)</f>
        <v>23896886.859999999</v>
      </c>
      <c r="D20" s="154">
        <f>SUM(D21)</f>
        <v>18860501.489999998</v>
      </c>
    </row>
    <row r="21" spans="1:4" x14ac:dyDescent="0.2">
      <c r="A21" s="150" t="s">
        <v>97</v>
      </c>
      <c r="B21" s="132">
        <f>'8b) Projekty spolufinancované'!B289</f>
        <v>2979000</v>
      </c>
      <c r="C21" s="132">
        <f>'8b) Projekty spolufinancované'!C289</f>
        <v>23896886.859999999</v>
      </c>
      <c r="D21" s="151">
        <f>'8b) Projekty spolufinancované'!D289</f>
        <v>18860501.489999998</v>
      </c>
    </row>
    <row r="22" spans="1:4" ht="15.75" x14ac:dyDescent="0.25">
      <c r="A22" s="152" t="s">
        <v>52</v>
      </c>
      <c r="B22" s="153">
        <f>SUM(B23:B24)</f>
        <v>4000000</v>
      </c>
      <c r="C22" s="153">
        <f t="shared" ref="C22:D22" si="0">SUM(C23:C24)</f>
        <v>3676373.5</v>
      </c>
      <c r="D22" s="154">
        <f t="shared" si="0"/>
        <v>2467316.31</v>
      </c>
    </row>
    <row r="23" spans="1:4" x14ac:dyDescent="0.2">
      <c r="A23" s="150" t="s">
        <v>25</v>
      </c>
      <c r="B23" s="132">
        <f>'8a) OK 2023'!B369</f>
        <v>0</v>
      </c>
      <c r="C23" s="132">
        <f>'8a) OK 2023'!C369</f>
        <v>235091</v>
      </c>
      <c r="D23" s="151">
        <f>'8a) OK 2023'!D369</f>
        <v>198064.9</v>
      </c>
    </row>
    <row r="24" spans="1:4" x14ac:dyDescent="0.2">
      <c r="A24" s="150" t="s">
        <v>97</v>
      </c>
      <c r="B24" s="132">
        <f>'8b) Projekty spolufinancované'!B290</f>
        <v>4000000</v>
      </c>
      <c r="C24" s="132">
        <f>'8b) Projekty spolufinancované'!C290</f>
        <v>3441282.5</v>
      </c>
      <c r="D24" s="151">
        <f>'8b) Projekty spolufinancované'!D290</f>
        <v>2269251.41</v>
      </c>
    </row>
    <row r="25" spans="1:4" ht="18" customHeight="1" x14ac:dyDescent="0.25">
      <c r="A25" s="155" t="s">
        <v>121</v>
      </c>
      <c r="B25" s="156">
        <f>SUM(B26:B26)</f>
        <v>500000</v>
      </c>
      <c r="C25" s="156">
        <f>SUM(C26:C26)</f>
        <v>748816</v>
      </c>
      <c r="D25" s="173">
        <f>SUM(D26:D26)</f>
        <v>712808.63</v>
      </c>
    </row>
    <row r="26" spans="1:4" x14ac:dyDescent="0.2">
      <c r="A26" s="150" t="s">
        <v>97</v>
      </c>
      <c r="B26" s="132">
        <f>'8b) Projekty spolufinancované'!B291</f>
        <v>500000</v>
      </c>
      <c r="C26" s="132">
        <f>'8b) Projekty spolufinancované'!C291</f>
        <v>748816</v>
      </c>
      <c r="D26" s="151">
        <f>'8b) Projekty spolufinancované'!D291</f>
        <v>712808.63</v>
      </c>
    </row>
    <row r="27" spans="1:4" ht="18" customHeight="1" x14ac:dyDescent="0.25">
      <c r="A27" s="155" t="s">
        <v>245</v>
      </c>
      <c r="B27" s="156">
        <f>SUM(B28:B28)</f>
        <v>0</v>
      </c>
      <c r="C27" s="156">
        <f>SUM(C28:C28)</f>
        <v>1900757.5</v>
      </c>
      <c r="D27" s="173">
        <f>SUM(D28:D28)</f>
        <v>353924</v>
      </c>
    </row>
    <row r="28" spans="1:4" x14ac:dyDescent="0.2">
      <c r="A28" s="150" t="s">
        <v>97</v>
      </c>
      <c r="B28" s="132">
        <f>'8b) Projekty spolufinancované'!B292</f>
        <v>0</v>
      </c>
      <c r="C28" s="132">
        <f>'8b) Projekty spolufinancované'!C292</f>
        <v>1900757.5</v>
      </c>
      <c r="D28" s="151">
        <f>'8b) Projekty spolufinancované'!D292</f>
        <v>353924</v>
      </c>
    </row>
    <row r="29" spans="1:4" ht="15.75" x14ac:dyDescent="0.25">
      <c r="A29" s="155" t="s">
        <v>366</v>
      </c>
      <c r="B29" s="156">
        <f>SUM(B30:B30)</f>
        <v>1500000</v>
      </c>
      <c r="C29" s="156">
        <f>SUM(C30:C30)</f>
        <v>1480000</v>
      </c>
      <c r="D29" s="173">
        <f>SUM(D30:D30)</f>
        <v>234740</v>
      </c>
    </row>
    <row r="30" spans="1:4" x14ac:dyDescent="0.2">
      <c r="A30" s="150" t="s">
        <v>25</v>
      </c>
      <c r="B30" s="132">
        <f>'8a) OK 2023'!B428</f>
        <v>1500000</v>
      </c>
      <c r="C30" s="132">
        <f>'8a) OK 2023'!C428</f>
        <v>1480000</v>
      </c>
      <c r="D30" s="151">
        <f>'8a) OK 2023'!D428</f>
        <v>234740</v>
      </c>
    </row>
    <row r="31" spans="1:4" ht="15.75" x14ac:dyDescent="0.25">
      <c r="A31" s="155" t="s">
        <v>246</v>
      </c>
      <c r="B31" s="156">
        <f>SUM(B32:B33)</f>
        <v>16634000</v>
      </c>
      <c r="C31" s="156">
        <f t="shared" ref="C31:D31" si="1">SUM(C32:C33)</f>
        <v>25277074.419999998</v>
      </c>
      <c r="D31" s="173">
        <f t="shared" si="1"/>
        <v>20230894.959999997</v>
      </c>
    </row>
    <row r="32" spans="1:4" x14ac:dyDescent="0.2">
      <c r="A32" s="150" t="s">
        <v>25</v>
      </c>
      <c r="B32" s="132">
        <f>'8a) OK 2023'!B429</f>
        <v>2500000</v>
      </c>
      <c r="C32" s="132">
        <f>'8a) OK 2023'!C429</f>
        <v>3530000</v>
      </c>
      <c r="D32" s="151">
        <f>'8a) OK 2023'!D429</f>
        <v>3526868.2</v>
      </c>
    </row>
    <row r="33" spans="1:7" x14ac:dyDescent="0.2">
      <c r="A33" s="150" t="s">
        <v>97</v>
      </c>
      <c r="B33" s="132">
        <f>'8b) Projekty spolufinancované'!B293</f>
        <v>14134000</v>
      </c>
      <c r="C33" s="132">
        <f>'8b) Projekty spolufinancované'!C293</f>
        <v>21747074.419999998</v>
      </c>
      <c r="D33" s="151">
        <f>'8b) Projekty spolufinancované'!D293</f>
        <v>16704026.759999998</v>
      </c>
    </row>
    <row r="34" spans="1:7" ht="15.75" x14ac:dyDescent="0.25">
      <c r="A34" s="155" t="s">
        <v>146</v>
      </c>
      <c r="B34" s="156">
        <f>SUM(B35:B35)</f>
        <v>218915000</v>
      </c>
      <c r="C34" s="156">
        <f>SUM(C35:C35)</f>
        <v>217767267.38999999</v>
      </c>
      <c r="D34" s="173">
        <f>SUM(D35:D35)</f>
        <v>215908670.78</v>
      </c>
    </row>
    <row r="35" spans="1:7" x14ac:dyDescent="0.2">
      <c r="A35" s="150" t="s">
        <v>97</v>
      </c>
      <c r="B35" s="132">
        <f>'8b) Projekty spolufinancované'!B260</f>
        <v>218915000</v>
      </c>
      <c r="C35" s="132">
        <f>'8b) Projekty spolufinancované'!C260</f>
        <v>217767267.38999999</v>
      </c>
      <c r="D35" s="151">
        <f>'8b) Projekty spolufinancované'!D260</f>
        <v>215908670.78</v>
      </c>
    </row>
    <row r="36" spans="1:7" ht="15.75" x14ac:dyDescent="0.25">
      <c r="A36" s="155" t="s">
        <v>369</v>
      </c>
      <c r="B36" s="156">
        <f>SUM(B37:B37)</f>
        <v>0</v>
      </c>
      <c r="C36" s="156">
        <f>SUM(C37:C37)</f>
        <v>7990000</v>
      </c>
      <c r="D36" s="173">
        <f>SUM(D37:D37)</f>
        <v>1281632</v>
      </c>
    </row>
    <row r="37" spans="1:7" x14ac:dyDescent="0.2">
      <c r="A37" s="150" t="s">
        <v>25</v>
      </c>
      <c r="B37" s="132">
        <f>'8a) OK 2023'!B400</f>
        <v>0</v>
      </c>
      <c r="C37" s="132">
        <f>'8a) OK 2023'!C400</f>
        <v>7990000</v>
      </c>
      <c r="D37" s="151">
        <f>'8a) OK 2023'!D400</f>
        <v>1281632</v>
      </c>
    </row>
    <row r="38" spans="1:7" ht="31.5" x14ac:dyDescent="0.25">
      <c r="A38" s="155" t="s">
        <v>232</v>
      </c>
      <c r="B38" s="156">
        <f>SUM(B39:B39)</f>
        <v>7000000</v>
      </c>
      <c r="C38" s="156">
        <f>SUM(C39:C39)</f>
        <v>11000000</v>
      </c>
      <c r="D38" s="173">
        <f>SUM(D39:D39)</f>
        <v>11000000</v>
      </c>
    </row>
    <row r="39" spans="1:7" x14ac:dyDescent="0.2">
      <c r="A39" s="150" t="s">
        <v>97</v>
      </c>
      <c r="B39" s="132">
        <f>'8b) Projekty spolufinancované'!B295</f>
        <v>7000000</v>
      </c>
      <c r="C39" s="132">
        <f>'8b) Projekty spolufinancované'!C295</f>
        <v>11000000</v>
      </c>
      <c r="D39" s="151">
        <f>'8b) Projekty spolufinancované'!D295</f>
        <v>11000000</v>
      </c>
    </row>
    <row r="40" spans="1:7" ht="15.75" x14ac:dyDescent="0.25">
      <c r="A40" s="152" t="s">
        <v>26</v>
      </c>
      <c r="B40" s="153">
        <f>SUM(B41:B42)</f>
        <v>60506000</v>
      </c>
      <c r="C40" s="153">
        <f t="shared" ref="C40:D40" si="2">SUM(C41:C42)</f>
        <v>41422148.350000001</v>
      </c>
      <c r="D40" s="154">
        <f t="shared" si="2"/>
        <v>9982124.3499999996</v>
      </c>
    </row>
    <row r="41" spans="1:7" x14ac:dyDescent="0.2">
      <c r="A41" s="150" t="s">
        <v>25</v>
      </c>
      <c r="B41" s="132">
        <f>'8a) OK 2023'!B418</f>
        <v>55006000</v>
      </c>
      <c r="C41" s="132">
        <f>'8a) OK 2023'!C418</f>
        <v>39806000</v>
      </c>
      <c r="D41" s="151">
        <f>'8a) OK 2023'!D418</f>
        <v>9982124.3499999996</v>
      </c>
    </row>
    <row r="42" spans="1:7" ht="13.5" thickBot="1" x14ac:dyDescent="0.25">
      <c r="A42" s="150" t="s">
        <v>97</v>
      </c>
      <c r="B42" s="132">
        <f>'8b) Projekty spolufinancované'!B296</f>
        <v>5500000</v>
      </c>
      <c r="C42" s="132">
        <f>'8b) Projekty spolufinancované'!C296</f>
        <v>1616148.35</v>
      </c>
      <c r="D42" s="151">
        <f>'8b) Projekty spolufinancované'!D296</f>
        <v>0</v>
      </c>
    </row>
    <row r="43" spans="1:7" ht="17.25" thickTop="1" thickBot="1" x14ac:dyDescent="0.3">
      <c r="A43" s="19" t="s">
        <v>27</v>
      </c>
      <c r="B43" s="20">
        <f>SUM(B4,B7,B13,B10,B16,,B40,B22,B25,B34,B20,B27,B38,B36,B29,B31)</f>
        <v>1548123000</v>
      </c>
      <c r="C43" s="20">
        <f t="shared" ref="C43:D43" si="3">SUM(C4,C7,C13,C10,C16,,C40,C22,C25,C34,C20,C27,C38,C36,C29,C31)</f>
        <v>2221134089.1299996</v>
      </c>
      <c r="D43" s="432">
        <f t="shared" si="3"/>
        <v>1872594361.1800003</v>
      </c>
    </row>
    <row r="44" spans="1:7" ht="16.5" thickTop="1" x14ac:dyDescent="0.25">
      <c r="A44" s="469"/>
      <c r="B44" s="21"/>
      <c r="C44" s="21"/>
      <c r="D44" s="21"/>
    </row>
    <row r="45" spans="1:7" ht="15.75" x14ac:dyDescent="0.25">
      <c r="A45" s="469"/>
      <c r="B45" s="21"/>
      <c r="C45" s="21"/>
      <c r="D45" s="21"/>
    </row>
    <row r="46" spans="1:7" ht="15.75" x14ac:dyDescent="0.25">
      <c r="A46" s="23" t="s">
        <v>99</v>
      </c>
      <c r="B46" s="21"/>
      <c r="C46" s="21"/>
      <c r="D46" s="21"/>
    </row>
    <row r="47" spans="1:7" ht="16.5" thickBot="1" x14ac:dyDescent="0.3">
      <c r="A47" s="23"/>
      <c r="B47" s="21"/>
      <c r="C47" s="21"/>
      <c r="D47" s="10" t="s">
        <v>18</v>
      </c>
    </row>
    <row r="48" spans="1:7" ht="15.75" thickTop="1" thickBot="1" x14ac:dyDescent="0.25">
      <c r="A48" s="11"/>
      <c r="B48" s="12" t="s">
        <v>0</v>
      </c>
      <c r="C48" s="13" t="s">
        <v>1</v>
      </c>
      <c r="D48" s="14" t="s">
        <v>4</v>
      </c>
      <c r="F48" s="634" t="s">
        <v>119</v>
      </c>
      <c r="G48" s="635"/>
    </row>
    <row r="49" spans="1:16" ht="15.75" thickTop="1" thickBot="1" x14ac:dyDescent="0.25">
      <c r="A49" s="24" t="s">
        <v>100</v>
      </c>
      <c r="B49" s="25">
        <f>B41+B17+B14+B11+B8+B5+B32+B23+B30+B37</f>
        <v>698302000</v>
      </c>
      <c r="C49" s="25">
        <f t="shared" ref="C49:D49" si="4">C41+C17+C14+C11+C8+C5+C32+C23+C30+C37</f>
        <v>923209059.31999993</v>
      </c>
      <c r="D49" s="502">
        <f t="shared" si="4"/>
        <v>714203252.73000002</v>
      </c>
      <c r="F49" s="487"/>
      <c r="G49" s="488"/>
    </row>
    <row r="50" spans="1:16" ht="15" thickTop="1" x14ac:dyDescent="0.2">
      <c r="A50" s="157" t="s">
        <v>101</v>
      </c>
      <c r="B50" s="158">
        <f>B26+B24+B18+B15+B12+B9+B6+B35+B21+B28+B39+B42+B33</f>
        <v>820414000</v>
      </c>
      <c r="C50" s="158">
        <f t="shared" ref="C50:D50" si="5">C26+C24+C18+C15+C12+C9+C6+C35+C21+C28+C39+C42+C33</f>
        <v>1264396250.4299998</v>
      </c>
      <c r="D50" s="431">
        <f t="shared" si="5"/>
        <v>1134031284.6700001</v>
      </c>
      <c r="F50" s="424" t="s">
        <v>91</v>
      </c>
      <c r="G50" s="427" t="e">
        <f>#REF!-#REF!</f>
        <v>#REF!</v>
      </c>
    </row>
    <row r="51" spans="1:16" s="22" customFormat="1" ht="15" thickBot="1" x14ac:dyDescent="0.25">
      <c r="A51" s="157" t="s">
        <v>102</v>
      </c>
      <c r="B51" s="158">
        <f>B19</f>
        <v>29407000</v>
      </c>
      <c r="C51" s="158">
        <f>C19</f>
        <v>33528779.379999999</v>
      </c>
      <c r="D51" s="431">
        <f>D19</f>
        <v>24359823.779999994</v>
      </c>
      <c r="F51" s="423" t="s">
        <v>90</v>
      </c>
      <c r="G51" s="428">
        <v>-9117005.9499999993</v>
      </c>
    </row>
    <row r="52" spans="1:16" s="22" customFormat="1" ht="17.25" thickTop="1" thickBot="1" x14ac:dyDescent="0.3">
      <c r="A52" s="19" t="s">
        <v>27</v>
      </c>
      <c r="B52" s="20">
        <f>SUM(B49:B51)</f>
        <v>1548123000</v>
      </c>
      <c r="C52" s="20">
        <f t="shared" ref="C52:D52" si="6">SUM(C49:C51)</f>
        <v>2221134089.1300001</v>
      </c>
      <c r="D52" s="432">
        <f t="shared" si="6"/>
        <v>1872594361.1800001</v>
      </c>
      <c r="F52" s="425"/>
      <c r="G52" s="426" t="e">
        <f>SUM(G49:G51)</f>
        <v>#REF!</v>
      </c>
    </row>
    <row r="53" spans="1:16" s="22" customFormat="1" ht="17.25" thickTop="1" thickBot="1" x14ac:dyDescent="0.3">
      <c r="A53" s="469"/>
      <c r="B53" s="21"/>
      <c r="C53" s="21"/>
      <c r="D53" s="21"/>
    </row>
    <row r="54" spans="1:16" s="22" customFormat="1" ht="16.5" thickBot="1" x14ac:dyDescent="0.3">
      <c r="A54" s="469"/>
      <c r="B54" s="21"/>
      <c r="C54" s="21"/>
      <c r="D54" s="21"/>
      <c r="F54" s="634" t="s">
        <v>117</v>
      </c>
      <c r="G54" s="635"/>
    </row>
    <row r="55" spans="1:16" s="22" customFormat="1" ht="17.25" thickTop="1" thickBot="1" x14ac:dyDescent="0.3">
      <c r="A55" s="23" t="s">
        <v>103</v>
      </c>
      <c r="B55" s="21"/>
      <c r="C55" s="21"/>
      <c r="D55" s="21"/>
      <c r="F55" s="487"/>
      <c r="G55" s="488"/>
    </row>
    <row r="56" spans="1:16" s="22" customFormat="1" ht="17.25" thickTop="1" thickBot="1" x14ac:dyDescent="0.3">
      <c r="A56" s="23"/>
      <c r="B56" s="21"/>
      <c r="C56" s="21"/>
      <c r="D56" s="10" t="s">
        <v>18</v>
      </c>
      <c r="F56" s="424" t="s">
        <v>91</v>
      </c>
      <c r="G56" s="427" t="e">
        <f>#REF!-#REF!</f>
        <v>#REF!</v>
      </c>
    </row>
    <row r="57" spans="1:16" s="22" customFormat="1" ht="14.25" thickTop="1" thickBot="1" x14ac:dyDescent="0.25">
      <c r="A57" s="11"/>
      <c r="B57" s="12" t="s">
        <v>0</v>
      </c>
      <c r="C57" s="13" t="s">
        <v>1</v>
      </c>
      <c r="D57" s="14" t="s">
        <v>4</v>
      </c>
      <c r="F57" s="423" t="s">
        <v>118</v>
      </c>
      <c r="G57" s="428">
        <v>0</v>
      </c>
    </row>
    <row r="58" spans="1:16" s="26" customFormat="1" ht="15.75" thickTop="1" thickBot="1" x14ac:dyDescent="0.25">
      <c r="A58" s="24" t="s">
        <v>104</v>
      </c>
      <c r="B58" s="25">
        <f>'8a) OK 2023'!J442+'8b) Projekty spolufinancované'!J301+'8c) SMN'!I24+'8c) SMN'!I25</f>
        <v>1071123000</v>
      </c>
      <c r="C58" s="25">
        <f>'8a) OK 2023'!K442+'8b) Projekty spolufinancované'!K301+'8c) SMN'!J24+'8c) SMN'!J25</f>
        <v>1297208640.0100002</v>
      </c>
      <c r="D58" s="502">
        <f>'8a) OK 2023'!L442+'8b) Projekty spolufinancované'!L301+'8c) SMN'!K24+'8c) SMN'!K25</f>
        <v>1010693440.9400001</v>
      </c>
      <c r="F58" s="425"/>
      <c r="G58" s="426" t="e">
        <f>SUM(G55:G57)</f>
        <v>#REF!</v>
      </c>
      <c r="N58" s="472">
        <f>C58-D58</f>
        <v>286515199.07000017</v>
      </c>
      <c r="O58" s="472"/>
      <c r="P58" s="472"/>
    </row>
    <row r="59" spans="1:16" s="26" customFormat="1" ht="14.25" x14ac:dyDescent="0.2">
      <c r="A59" s="157" t="s">
        <v>105</v>
      </c>
      <c r="B59" s="158">
        <f>'8b) Projekty spolufinancované'!J302-B60</f>
        <v>7000000</v>
      </c>
      <c r="C59" s="158">
        <f>'8b) Projekty spolufinancované'!K302-C60</f>
        <v>199727416.86000001</v>
      </c>
      <c r="D59" s="431">
        <f>'8b) Projekty spolufinancované'!L302-D60</f>
        <v>142962592.79000002</v>
      </c>
      <c r="N59" s="472"/>
      <c r="O59" s="472"/>
      <c r="P59" s="472"/>
    </row>
    <row r="60" spans="1:16" s="26" customFormat="1" ht="14.25" x14ac:dyDescent="0.2">
      <c r="A60" s="157" t="s">
        <v>148</v>
      </c>
      <c r="B60" s="158">
        <f>'8b) Projekty spolufinancované'!J142</f>
        <v>0</v>
      </c>
      <c r="C60" s="158">
        <f>'8b) Projekty spolufinancované'!K142</f>
        <v>348169266.88</v>
      </c>
      <c r="D60" s="431">
        <f>'8b) Projekty spolufinancované'!L142</f>
        <v>348169266.88</v>
      </c>
      <c r="N60" s="472"/>
      <c r="O60" s="472"/>
      <c r="P60" s="472"/>
    </row>
    <row r="61" spans="1:16" s="26" customFormat="1" ht="15" thickBot="1" x14ac:dyDescent="0.25">
      <c r="A61" s="157" t="s">
        <v>175</v>
      </c>
      <c r="B61" s="158">
        <f>'8b) Projekty spolufinancované'!J300</f>
        <v>470000000</v>
      </c>
      <c r="C61" s="158">
        <f>'8b) Projekty spolufinancované'!K300</f>
        <v>376028765.38</v>
      </c>
      <c r="D61" s="431">
        <f>'8b) Projekty spolufinancované'!L300</f>
        <v>370769060.56999999</v>
      </c>
      <c r="F61" s="487"/>
      <c r="G61" s="488"/>
      <c r="H61" s="416" t="s">
        <v>89</v>
      </c>
      <c r="I61" s="163" t="e">
        <f>'8a) OK 2023'!#REF!</f>
        <v>#REF!</v>
      </c>
      <c r="J61" s="163" t="e">
        <f>'8a) OK 2023'!#REF!</f>
        <v>#REF!</v>
      </c>
      <c r="K61" s="163" t="e">
        <f>'8a) OK 2023'!#REF!</f>
        <v>#REF!</v>
      </c>
      <c r="N61" s="472">
        <f>C61-D61</f>
        <v>5259704.8100000024</v>
      </c>
      <c r="O61" s="472"/>
      <c r="P61" s="472"/>
    </row>
    <row r="62" spans="1:16" s="27" customFormat="1" ht="17.25" thickTop="1" thickBot="1" x14ac:dyDescent="0.3">
      <c r="A62" s="19" t="s">
        <v>27</v>
      </c>
      <c r="B62" s="20">
        <f>SUM(B58:B61)</f>
        <v>1548123000</v>
      </c>
      <c r="C62" s="20">
        <f>SUM(C58:C61)</f>
        <v>2221134089.1300006</v>
      </c>
      <c r="D62" s="432">
        <f>SUM(D58:D61)</f>
        <v>1872594361.1800001</v>
      </c>
      <c r="F62" s="423" t="s">
        <v>90</v>
      </c>
      <c r="G62" s="428">
        <v>-0.19</v>
      </c>
      <c r="H62" s="416" t="s">
        <v>108</v>
      </c>
      <c r="I62" s="163">
        <f>'8a) OK 2023'!J439</f>
        <v>16206000</v>
      </c>
      <c r="J62" s="163">
        <f>'8a) OK 2023'!K439</f>
        <v>19206000</v>
      </c>
      <c r="K62" s="163">
        <f>'8a) OK 2023'!L439</f>
        <v>5414447.5</v>
      </c>
      <c r="N62" s="472"/>
      <c r="O62" s="472"/>
      <c r="P62" s="472"/>
    </row>
    <row r="63" spans="1:16" s="27" customFormat="1" ht="17.25" customHeight="1" thickTop="1" thickBot="1" x14ac:dyDescent="0.25">
      <c r="B63" s="466"/>
      <c r="D63" s="466"/>
      <c r="F63" s="489"/>
      <c r="G63" s="490">
        <f>SUM(G61:G62)</f>
        <v>-0.19</v>
      </c>
      <c r="H63" s="416" t="s">
        <v>81</v>
      </c>
      <c r="I63" s="163" t="e">
        <f>'8a) OK 2023'!#REF!</f>
        <v>#REF!</v>
      </c>
      <c r="J63" s="163" t="e">
        <f>'8a) OK 2023'!#REF!</f>
        <v>#REF!</v>
      </c>
      <c r="K63" s="163" t="e">
        <f>'8a) OK 2023'!#REF!</f>
        <v>#REF!</v>
      </c>
      <c r="N63" s="466"/>
      <c r="O63" s="466"/>
      <c r="P63" s="466"/>
    </row>
    <row r="64" spans="1:16" s="22" customFormat="1" ht="17.25" customHeight="1" x14ac:dyDescent="0.2">
      <c r="A64" s="510" t="s">
        <v>147</v>
      </c>
      <c r="B64" s="468">
        <v>1538246000</v>
      </c>
      <c r="C64" s="468"/>
      <c r="D64" s="468"/>
      <c r="F64" s="491"/>
      <c r="G64" s="492"/>
      <c r="H64" s="417" t="s">
        <v>34</v>
      </c>
      <c r="I64" s="124">
        <f>'8a) OK 2023'!J435</f>
        <v>9877000</v>
      </c>
      <c r="J64" s="124">
        <f>'8a) OK 2023'!K435</f>
        <v>9927000</v>
      </c>
      <c r="K64" s="124">
        <f>'8a) OK 2023'!L435</f>
        <v>6610167.0999999996</v>
      </c>
    </row>
    <row r="65" spans="1:13" s="22" customFormat="1" x14ac:dyDescent="0.2">
      <c r="A65" s="587" t="s">
        <v>253</v>
      </c>
      <c r="B65" s="468">
        <f>B64+'8a) OK 2023'!J435</f>
        <v>1548123000</v>
      </c>
      <c r="C65" s="586"/>
      <c r="D65" s="586"/>
      <c r="F65" s="107"/>
      <c r="G65" s="28"/>
      <c r="H65" s="418" t="s">
        <v>32</v>
      </c>
      <c r="I65" s="121" t="e">
        <f>'8a) OK 2023'!J436+'8a) OK 2023'!#REF!</f>
        <v>#REF!</v>
      </c>
      <c r="J65" s="121" t="e">
        <f>'8a) OK 2023'!K436+'8a) OK 2023'!#REF!</f>
        <v>#REF!</v>
      </c>
      <c r="K65" s="121" t="e">
        <f>'8a) OK 2023'!L436+'8a) OK 2023'!#REF!</f>
        <v>#REF!</v>
      </c>
    </row>
    <row r="66" spans="1:13" s="22" customFormat="1" x14ac:dyDescent="0.2">
      <c r="A66" s="586"/>
      <c r="B66" s="586"/>
      <c r="C66" s="586"/>
      <c r="D66" s="586"/>
      <c r="F66" s="468"/>
      <c r="H66" s="419" t="s">
        <v>37</v>
      </c>
      <c r="I66" s="161">
        <f>'8b) Projekty spolufinancované'!J290</f>
        <v>94576000</v>
      </c>
      <c r="J66" s="161">
        <f>'8b) Projekty spolufinancované'!K290</f>
        <v>43551167.910000004</v>
      </c>
      <c r="K66" s="161">
        <f>'8b) Projekty spolufinancované'!L290</f>
        <v>34839201.789999999</v>
      </c>
    </row>
    <row r="67" spans="1:13" s="28" customFormat="1" ht="15.75" x14ac:dyDescent="0.25">
      <c r="A67" s="494"/>
      <c r="B67" s="495">
        <f>B43</f>
        <v>1548123000</v>
      </c>
      <c r="C67" s="494"/>
      <c r="D67" s="631"/>
      <c r="H67" s="420" t="s">
        <v>38</v>
      </c>
      <c r="I67" s="169">
        <f>'8b) Projekty spolufinancované'!J291</f>
        <v>369223000</v>
      </c>
      <c r="J67" s="169">
        <f>'8b) Projekty spolufinancované'!K291</f>
        <v>365022866.25</v>
      </c>
      <c r="K67" s="169">
        <f>'8b) Projekty spolufinancované'!L291</f>
        <v>320784215.36000001</v>
      </c>
    </row>
    <row r="68" spans="1:13" s="28" customFormat="1" x14ac:dyDescent="0.2">
      <c r="A68" s="106"/>
      <c r="B68" s="522"/>
      <c r="E68" s="107"/>
      <c r="F68" s="106"/>
      <c r="G68" s="107"/>
      <c r="H68" s="421" t="s">
        <v>35</v>
      </c>
      <c r="I68" s="168">
        <f>'8b) Projekty spolufinancované'!J292</f>
        <v>285557000</v>
      </c>
      <c r="J68" s="168">
        <f>'8b) Projekty spolufinancované'!K292</f>
        <v>280711960.89999998</v>
      </c>
      <c r="K68" s="168">
        <f>'8b) Projekty spolufinancované'!L292</f>
        <v>269596722.13999999</v>
      </c>
      <c r="L68" s="105"/>
      <c r="M68" s="105"/>
    </row>
    <row r="69" spans="1:13" s="28" customFormat="1" x14ac:dyDescent="0.2">
      <c r="A69" s="105"/>
      <c r="B69" s="105"/>
      <c r="E69" s="105"/>
      <c r="F69" s="105"/>
      <c r="G69" s="105"/>
      <c r="H69" s="422" t="s">
        <v>33</v>
      </c>
      <c r="I69" s="162" t="e">
        <f>'8a) OK 2023'!J437+'8a) OK 2023'!#REF!+'8b) Projekty spolufinancované'!J297</f>
        <v>#REF!</v>
      </c>
      <c r="J69" s="162" t="e">
        <f>'8a) OK 2023'!K437+'8a) OK 2023'!#REF!+'8b) Projekty spolufinancované'!K297</f>
        <v>#REF!</v>
      </c>
      <c r="K69" s="162" t="e">
        <f>'8a) OK 2023'!L437+'8a) OK 2023'!#REF!+'8b) Projekty spolufinancované'!L297</f>
        <v>#REF!</v>
      </c>
      <c r="L69" s="105"/>
      <c r="M69" s="105"/>
    </row>
    <row r="70" spans="1:13" s="28" customFormat="1" x14ac:dyDescent="0.2">
      <c r="A70" s="105"/>
      <c r="B70" s="626"/>
      <c r="E70" s="105"/>
      <c r="F70" s="105"/>
      <c r="G70" s="105"/>
      <c r="H70" s="429" t="s">
        <v>96</v>
      </c>
      <c r="I70" s="430">
        <f>'8c) SMN'!I26</f>
        <v>29407000</v>
      </c>
      <c r="J70" s="430">
        <f>'8c) SMN'!J26</f>
        <v>33528779.379999999</v>
      </c>
      <c r="K70" s="430">
        <f>'8c) SMN'!K26</f>
        <v>24359823.780000001</v>
      </c>
      <c r="L70" s="105"/>
      <c r="M70" s="105"/>
    </row>
    <row r="71" spans="1:13" s="28" customFormat="1" ht="15" x14ac:dyDescent="0.25">
      <c r="B71" s="493"/>
      <c r="H71" s="22"/>
      <c r="I71" s="137" t="e">
        <f>SUM(I61:I70)</f>
        <v>#REF!</v>
      </c>
      <c r="J71" s="137" t="e">
        <f>SUM(J61:J70)</f>
        <v>#REF!</v>
      </c>
      <c r="K71" s="137" t="e">
        <f>SUM(K61:K70)</f>
        <v>#REF!</v>
      </c>
    </row>
    <row r="72" spans="1:13" s="28" customFormat="1" x14ac:dyDescent="0.2"/>
    <row r="73" spans="1:13" s="28" customFormat="1" x14ac:dyDescent="0.2"/>
    <row r="74" spans="1:13" s="28" customFormat="1" x14ac:dyDescent="0.2">
      <c r="I74" s="493"/>
    </row>
    <row r="75" spans="1:13" s="28" customFormat="1" x14ac:dyDescent="0.2">
      <c r="K75" s="493"/>
    </row>
    <row r="76" spans="1:13" s="28" customFormat="1" x14ac:dyDescent="0.2"/>
    <row r="77" spans="1:13" s="28" customFormat="1" x14ac:dyDescent="0.2"/>
    <row r="78" spans="1:13" s="28" customFormat="1" x14ac:dyDescent="0.2">
      <c r="J78" s="471"/>
    </row>
    <row r="79" spans="1:13" s="28" customFormat="1" x14ac:dyDescent="0.2">
      <c r="J79" s="471"/>
    </row>
    <row r="80" spans="1:13" s="28" customFormat="1" x14ac:dyDescent="0.2">
      <c r="J80" s="471"/>
    </row>
    <row r="81" s="28" customFormat="1" x14ac:dyDescent="0.2"/>
    <row r="82" s="28" customFormat="1" x14ac:dyDescent="0.2"/>
    <row r="83" s="28" customFormat="1" x14ac:dyDescent="0.2"/>
    <row r="84" s="28" customFormat="1" x14ac:dyDescent="0.2"/>
    <row r="85" s="28" customFormat="1" x14ac:dyDescent="0.2"/>
    <row r="86" s="28" customFormat="1" x14ac:dyDescent="0.2"/>
  </sheetData>
  <mergeCells count="2">
    <mergeCell ref="F54:G54"/>
    <mergeCell ref="F48:G48"/>
  </mergeCells>
  <pageMargins left="0.78740157480314965" right="0.78740157480314965" top="0.98425196850393704" bottom="0.98425196850393704" header="0.51181102362204722" footer="0.51181102362204722"/>
  <pageSetup paperSize="9" scale="76" firstPageNumber="48" orientation="portrait" useFirstPageNumber="1" r:id="rId1"/>
  <headerFooter alignWithMargins="0">
    <oddFooter>&amp;L&amp;"Arial,Kurzíva"Zastupitelstvo Olomouckého kraje 17. 6. 2024
7.2. - Rozpočet Olomouckého kraje 2023 – závěrečný účet
Příloha č. 8: Přehled financování oprav, investic a projektů v roce 2023&amp;R&amp;"Arial,Kurzíva"Strana &amp;P (celkem 291)</oddFooter>
  </headerFooter>
  <ignoredErrors>
    <ignoredError sqref="B8:D8 B5:D5 B14:D14 B35:D35 B33:D33 B24:D28 B21:D21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P59"/>
  <sheetViews>
    <sheetView showGridLines="0" view="pageBreakPreview" zoomScaleNormal="100" zoomScaleSheetLayoutView="100" workbookViewId="0">
      <selection activeCell="I25" sqref="I25"/>
    </sheetView>
  </sheetViews>
  <sheetFormatPr defaultColWidth="9.140625" defaultRowHeight="12.75" x14ac:dyDescent="0.2"/>
  <cols>
    <col min="1" max="1" width="36.140625" style="5" customWidth="1"/>
    <col min="2" max="2" width="19" style="5" customWidth="1"/>
    <col min="3" max="3" width="20.140625" style="5" customWidth="1"/>
    <col min="4" max="4" width="19.42578125" style="5" customWidth="1"/>
    <col min="5" max="5" width="3.28515625" style="5" customWidth="1"/>
    <col min="6" max="6" width="22.5703125" style="5" customWidth="1"/>
    <col min="7" max="7" width="13.5703125" style="5" customWidth="1"/>
    <col min="8" max="8" width="16.28515625" style="5" bestFit="1" customWidth="1"/>
    <col min="9" max="9" width="18.85546875" style="5" customWidth="1"/>
    <col min="10" max="10" width="17.85546875" style="5" customWidth="1"/>
    <col min="11" max="11" width="19.42578125" style="5" customWidth="1"/>
    <col min="12" max="12" width="5" style="5" customWidth="1"/>
    <col min="13" max="13" width="3.85546875" style="5" customWidth="1"/>
    <col min="14" max="14" width="17.28515625" style="5" bestFit="1" customWidth="1"/>
    <col min="15" max="15" width="17.42578125" style="5" customWidth="1"/>
    <col min="16" max="16" width="18.140625" style="5" customWidth="1"/>
    <col min="17" max="16384" width="9.140625" style="5"/>
  </cols>
  <sheetData>
    <row r="1" spans="1:9" ht="18" x14ac:dyDescent="0.25">
      <c r="A1" s="6" t="s">
        <v>403</v>
      </c>
      <c r="B1" s="7"/>
      <c r="C1" s="7"/>
      <c r="D1" s="7"/>
    </row>
    <row r="2" spans="1:9" ht="18.75" thickBot="1" x14ac:dyDescent="0.3">
      <c r="A2" s="8"/>
      <c r="B2" s="9"/>
      <c r="C2" s="9"/>
      <c r="D2" s="10" t="s">
        <v>18</v>
      </c>
    </row>
    <row r="3" spans="1:9" ht="14.25" thickTop="1" thickBot="1" x14ac:dyDescent="0.25">
      <c r="A3" s="11"/>
      <c r="B3" s="12" t="s">
        <v>0</v>
      </c>
      <c r="C3" s="13" t="s">
        <v>1</v>
      </c>
      <c r="D3" s="14" t="s">
        <v>4</v>
      </c>
    </row>
    <row r="4" spans="1:9" ht="16.5" thickTop="1" x14ac:dyDescent="0.25">
      <c r="A4" s="15" t="s">
        <v>7</v>
      </c>
      <c r="B4" s="153">
        <f>SUM(B5:B6)</f>
        <v>11801000</v>
      </c>
      <c r="C4" s="153">
        <f>SUM(C5:C6)</f>
        <v>45866209.019999996</v>
      </c>
      <c r="D4" s="154">
        <f>SUM(D5:D6)</f>
        <v>44616547.459999993</v>
      </c>
    </row>
    <row r="5" spans="1:9" x14ac:dyDescent="0.2">
      <c r="A5" s="150" t="s">
        <v>25</v>
      </c>
      <c r="B5" s="132">
        <f>'8a) OK 2023'!B58</f>
        <v>9860000</v>
      </c>
      <c r="C5" s="132">
        <f>'8a) OK 2023'!C58</f>
        <v>36271685.519999996</v>
      </c>
      <c r="D5" s="151">
        <f>'8a) OK 2023'!D58</f>
        <v>36271027.459999993</v>
      </c>
    </row>
    <row r="6" spans="1:9" x14ac:dyDescent="0.2">
      <c r="A6" s="150" t="s">
        <v>97</v>
      </c>
      <c r="B6" s="132">
        <f>'8b) Projekty spolufinancované'!B41</f>
        <v>1941000</v>
      </c>
      <c r="C6" s="132">
        <f>'8b) Projekty spolufinancované'!C41</f>
        <v>9594523.5</v>
      </c>
      <c r="D6" s="132">
        <f>'8b) Projekty spolufinancované'!D41</f>
        <v>8345520</v>
      </c>
    </row>
    <row r="7" spans="1:9" ht="15.75" x14ac:dyDescent="0.25">
      <c r="A7" s="152" t="s">
        <v>9</v>
      </c>
      <c r="B7" s="153">
        <f>SUM(B8:B9)</f>
        <v>7283000</v>
      </c>
      <c r="C7" s="153">
        <f>SUM(C8:C9)</f>
        <v>38085709.410000004</v>
      </c>
      <c r="D7" s="154">
        <f>SUM(D8:D9)</f>
        <v>38085709.410000004</v>
      </c>
    </row>
    <row r="8" spans="1:9" x14ac:dyDescent="0.2">
      <c r="A8" s="150" t="s">
        <v>25</v>
      </c>
      <c r="B8" s="132">
        <f>'8a) OK 2023'!B188</f>
        <v>7283000</v>
      </c>
      <c r="C8" s="132">
        <f>'8a) OK 2023'!C188</f>
        <v>38085709.410000004</v>
      </c>
      <c r="D8" s="151">
        <f>'8a) OK 2023'!D188</f>
        <v>38085709.410000004</v>
      </c>
      <c r="G8" s="16"/>
      <c r="H8" s="17"/>
      <c r="I8" s="18"/>
    </row>
    <row r="9" spans="1:9" hidden="1" x14ac:dyDescent="0.2">
      <c r="A9" s="150" t="s">
        <v>97</v>
      </c>
      <c r="B9" s="132"/>
      <c r="C9" s="132"/>
      <c r="D9" s="151"/>
      <c r="G9" s="16"/>
      <c r="H9" s="17"/>
      <c r="I9" s="18"/>
    </row>
    <row r="10" spans="1:9" ht="15.75" x14ac:dyDescent="0.25">
      <c r="A10" s="152" t="s">
        <v>8</v>
      </c>
      <c r="B10" s="153">
        <f>SUM(B11:B12)</f>
        <v>5467000</v>
      </c>
      <c r="C10" s="153">
        <f t="shared" ref="C10:D10" si="0">SUM(C11:C12)</f>
        <v>24735515.039999999</v>
      </c>
      <c r="D10" s="154">
        <f t="shared" si="0"/>
        <v>24735515.039999999</v>
      </c>
    </row>
    <row r="11" spans="1:9" x14ac:dyDescent="0.2">
      <c r="A11" s="150" t="s">
        <v>25</v>
      </c>
      <c r="B11" s="132">
        <f>'8a) OK 2023'!B253</f>
        <v>5467000</v>
      </c>
      <c r="C11" s="132">
        <f>'8a) OK 2023'!C253</f>
        <v>24735515.039999999</v>
      </c>
      <c r="D11" s="151">
        <f>'8a) OK 2023'!D253</f>
        <v>24735515.039999999</v>
      </c>
    </row>
    <row r="12" spans="1:9" hidden="1" x14ac:dyDescent="0.2">
      <c r="A12" s="150" t="s">
        <v>97</v>
      </c>
      <c r="B12" s="132"/>
      <c r="C12" s="132"/>
      <c r="D12" s="151"/>
    </row>
    <row r="13" spans="1:9" ht="15.75" x14ac:dyDescent="0.25">
      <c r="A13" s="152" t="s">
        <v>11</v>
      </c>
      <c r="B13" s="153">
        <f>SUM(B14:B15)</f>
        <v>260003000</v>
      </c>
      <c r="C13" s="153">
        <f>SUM(C14:C15)</f>
        <v>625354660.36000001</v>
      </c>
      <c r="D13" s="154">
        <f>SUM(D14:D15)</f>
        <v>625354660.36000001</v>
      </c>
    </row>
    <row r="14" spans="1:9" x14ac:dyDescent="0.2">
      <c r="A14" s="150" t="s">
        <v>25</v>
      </c>
      <c r="B14" s="132">
        <f>'8a) OK 2023'!B309</f>
        <v>233486000</v>
      </c>
      <c r="C14" s="132">
        <f>'8a) OK 2023'!C309</f>
        <v>277185393.48000002</v>
      </c>
      <c r="D14" s="151">
        <f>'8a) OK 2023'!D309</f>
        <v>277185393.48000002</v>
      </c>
    </row>
    <row r="15" spans="1:9" x14ac:dyDescent="0.2">
      <c r="A15" s="150" t="s">
        <v>97</v>
      </c>
      <c r="B15" s="132">
        <f>'8b) Projekty spolufinancované'!B138</f>
        <v>26517000</v>
      </c>
      <c r="C15" s="132">
        <f>'8b) Projekty spolufinancované'!C138</f>
        <v>348169266.88</v>
      </c>
      <c r="D15" s="132">
        <f>'8b) Projekty spolufinancované'!D138</f>
        <v>348169266.88</v>
      </c>
    </row>
    <row r="16" spans="1:9" ht="15.75" x14ac:dyDescent="0.25">
      <c r="A16" s="152" t="s">
        <v>10</v>
      </c>
      <c r="B16" s="153">
        <f>SUM(B17:B17)</f>
        <v>8403000</v>
      </c>
      <c r="C16" s="153">
        <f>SUM(C17:C17)</f>
        <v>39270375.600000001</v>
      </c>
      <c r="D16" s="154">
        <f>SUM(D17:D17)</f>
        <v>39066375.600000001</v>
      </c>
    </row>
    <row r="17" spans="1:16" ht="13.5" thickBot="1" x14ac:dyDescent="0.25">
      <c r="A17" s="150" t="s">
        <v>25</v>
      </c>
      <c r="B17" s="132">
        <f>'8a) OK 2023'!B351</f>
        <v>8403000</v>
      </c>
      <c r="C17" s="132">
        <f>'8a) OK 2023'!C351</f>
        <v>39270375.600000001</v>
      </c>
      <c r="D17" s="151">
        <f>'8a) OK 2023'!D351</f>
        <v>39066375.600000001</v>
      </c>
    </row>
    <row r="18" spans="1:16" ht="17.25" thickTop="1" thickBot="1" x14ac:dyDescent="0.3">
      <c r="A18" s="19" t="s">
        <v>27</v>
      </c>
      <c r="B18" s="20">
        <f>B13+B10+B7+B4+B16</f>
        <v>292957000</v>
      </c>
      <c r="C18" s="20">
        <f t="shared" ref="C18:D18" si="1">C13+C10+C7+C4+C16</f>
        <v>773312469.42999995</v>
      </c>
      <c r="D18" s="432">
        <f t="shared" si="1"/>
        <v>771858807.87</v>
      </c>
    </row>
    <row r="19" spans="1:16" ht="16.5" thickTop="1" x14ac:dyDescent="0.25">
      <c r="A19" s="469"/>
      <c r="B19" s="21"/>
      <c r="C19" s="21"/>
      <c r="D19" s="21"/>
    </row>
    <row r="20" spans="1:16" ht="15.75" x14ac:dyDescent="0.25">
      <c r="A20" s="469"/>
      <c r="B20" s="21"/>
      <c r="C20" s="21"/>
      <c r="D20" s="21"/>
    </row>
    <row r="21" spans="1:16" ht="15.75" x14ac:dyDescent="0.25">
      <c r="A21" s="23" t="s">
        <v>99</v>
      </c>
      <c r="B21" s="21"/>
      <c r="C21" s="21"/>
      <c r="D21" s="21"/>
    </row>
    <row r="22" spans="1:16" ht="16.5" thickBot="1" x14ac:dyDescent="0.3">
      <c r="A22" s="23"/>
      <c r="B22" s="21"/>
      <c r="C22" s="21"/>
      <c r="D22" s="10" t="s">
        <v>18</v>
      </c>
    </row>
    <row r="23" spans="1:16" ht="15.75" thickTop="1" thickBot="1" x14ac:dyDescent="0.25">
      <c r="A23" s="11"/>
      <c r="B23" s="12" t="s">
        <v>0</v>
      </c>
      <c r="C23" s="13" t="s">
        <v>1</v>
      </c>
      <c r="D23" s="14" t="s">
        <v>4</v>
      </c>
      <c r="F23" s="636"/>
      <c r="G23" s="636"/>
    </row>
    <row r="24" spans="1:16" ht="15" thickTop="1" x14ac:dyDescent="0.2">
      <c r="A24" s="24" t="s">
        <v>100</v>
      </c>
      <c r="B24" s="25">
        <f>B14+B11+B8+B5+B17</f>
        <v>264499000</v>
      </c>
      <c r="C24" s="25">
        <f t="shared" ref="C24:D24" si="2">C14+C11+C8+C5+C17</f>
        <v>415548679.05000007</v>
      </c>
      <c r="D24" s="25">
        <f t="shared" si="2"/>
        <v>415344020.99000007</v>
      </c>
      <c r="F24" s="498"/>
      <c r="G24" s="498"/>
    </row>
    <row r="25" spans="1:16" ht="15" thickBot="1" x14ac:dyDescent="0.25">
      <c r="A25" s="157" t="s">
        <v>101</v>
      </c>
      <c r="B25" s="158">
        <f>+B15+B6+B9+B12</f>
        <v>28458000</v>
      </c>
      <c r="C25" s="158">
        <f>+C15+C6+C9+C12</f>
        <v>357763790.38</v>
      </c>
      <c r="D25" s="158">
        <f>+D15+D6+D9+D12</f>
        <v>356514786.88</v>
      </c>
      <c r="F25" s="499"/>
      <c r="G25" s="500"/>
    </row>
    <row r="26" spans="1:16" s="22" customFormat="1" ht="17.25" thickTop="1" thickBot="1" x14ac:dyDescent="0.3">
      <c r="A26" s="19" t="s">
        <v>27</v>
      </c>
      <c r="B26" s="20">
        <f>SUM(B24:B25)</f>
        <v>292957000</v>
      </c>
      <c r="C26" s="20">
        <f>SUM(C24:C25)</f>
        <v>773312469.43000007</v>
      </c>
      <c r="D26" s="432">
        <f>SUM(D24:D25)</f>
        <v>771858807.87000012</v>
      </c>
      <c r="F26" s="496"/>
      <c r="G26" s="497"/>
    </row>
    <row r="27" spans="1:16" s="22" customFormat="1" ht="16.5" thickTop="1" x14ac:dyDescent="0.25">
      <c r="A27" s="469"/>
      <c r="B27" s="21"/>
      <c r="C27" s="21"/>
      <c r="D27" s="21"/>
      <c r="F27" s="494"/>
      <c r="G27" s="494"/>
    </row>
    <row r="28" spans="1:16" s="22" customFormat="1" ht="15.75" x14ac:dyDescent="0.25">
      <c r="A28" s="469"/>
      <c r="B28" s="21"/>
      <c r="C28" s="21"/>
      <c r="D28" s="21"/>
      <c r="F28" s="636"/>
      <c r="G28" s="636"/>
    </row>
    <row r="29" spans="1:16" s="22" customFormat="1" ht="15.75" x14ac:dyDescent="0.25">
      <c r="A29" s="23" t="s">
        <v>103</v>
      </c>
      <c r="B29" s="21"/>
      <c r="C29" s="21"/>
      <c r="D29" s="21"/>
      <c r="F29" s="498"/>
      <c r="G29" s="498"/>
    </row>
    <row r="30" spans="1:16" s="22" customFormat="1" ht="16.5" thickBot="1" x14ac:dyDescent="0.3">
      <c r="A30" s="23"/>
      <c r="B30" s="21"/>
      <c r="C30" s="21"/>
      <c r="D30" s="10" t="s">
        <v>18</v>
      </c>
      <c r="F30" s="499"/>
      <c r="G30" s="500"/>
    </row>
    <row r="31" spans="1:16" s="22" customFormat="1" ht="14.25" thickTop="1" thickBot="1" x14ac:dyDescent="0.25">
      <c r="A31" s="11"/>
      <c r="B31" s="12" t="s">
        <v>0</v>
      </c>
      <c r="C31" s="13" t="s">
        <v>1</v>
      </c>
      <c r="D31" s="14" t="s">
        <v>4</v>
      </c>
      <c r="F31" s="496"/>
      <c r="G31" s="497"/>
    </row>
    <row r="32" spans="1:16" s="26" customFormat="1" ht="15" thickTop="1" x14ac:dyDescent="0.2">
      <c r="A32" s="527" t="s">
        <v>104</v>
      </c>
      <c r="B32" s="528">
        <f>'8a) OK 2023'!J437+'8b) Projekty spolufinancované'!J62+'8b) Projekty spolufinancované'!J141</f>
        <v>292957000</v>
      </c>
      <c r="C32" s="528">
        <f>'8a) OK 2023'!K437+'8b) Projekty spolufinancované'!K62+'8b) Projekty spolufinancované'!K141</f>
        <v>417732249.75000006</v>
      </c>
      <c r="D32" s="528">
        <f>'8a) OK 2023'!L437+'8b) Projekty spolufinancované'!L62+'8b) Projekty spolufinancované'!L141</f>
        <v>416278588.19000006</v>
      </c>
      <c r="F32" s="496"/>
      <c r="G32" s="497"/>
      <c r="N32" s="472"/>
      <c r="O32" s="472"/>
      <c r="P32" s="472"/>
    </row>
    <row r="33" spans="1:16" s="26" customFormat="1" ht="14.25" x14ac:dyDescent="0.2">
      <c r="A33" s="157" t="s">
        <v>105</v>
      </c>
      <c r="B33" s="158">
        <f>'8b) Projekty spolufinancované'!J63</f>
        <v>0</v>
      </c>
      <c r="C33" s="158">
        <f>'8b) Projekty spolufinancované'!K63</f>
        <v>7410952.7999999998</v>
      </c>
      <c r="D33" s="158">
        <f>'8b) Projekty spolufinancované'!L63</f>
        <v>7410952.7999999998</v>
      </c>
      <c r="F33" s="496"/>
      <c r="G33" s="497"/>
      <c r="N33" s="472"/>
      <c r="O33" s="472"/>
      <c r="P33" s="472"/>
    </row>
    <row r="34" spans="1:16" s="26" customFormat="1" ht="15" thickBot="1" x14ac:dyDescent="0.25">
      <c r="A34" s="529" t="s">
        <v>148</v>
      </c>
      <c r="B34" s="530">
        <f>'8b) Projekty spolufinancované'!B140</f>
        <v>0</v>
      </c>
      <c r="C34" s="530">
        <f>'8b) Projekty spolufinancované'!C140</f>
        <v>348169266.88</v>
      </c>
      <c r="D34" s="531">
        <f>'8b) Projekty spolufinancované'!D140</f>
        <v>348169266.88</v>
      </c>
      <c r="F34" s="501"/>
      <c r="G34" s="501"/>
      <c r="N34" s="472"/>
      <c r="O34" s="472"/>
      <c r="P34" s="472"/>
    </row>
    <row r="35" spans="1:16" s="27" customFormat="1" ht="17.25" thickTop="1" thickBot="1" x14ac:dyDescent="0.3">
      <c r="A35" s="19" t="s">
        <v>27</v>
      </c>
      <c r="B35" s="20">
        <f>SUM(B32:B34)</f>
        <v>292957000</v>
      </c>
      <c r="C35" s="20">
        <f>SUM(C32:C34)</f>
        <v>773312469.43000007</v>
      </c>
      <c r="D35" s="432">
        <f>SUM(D32:D34)</f>
        <v>771858807.87000012</v>
      </c>
      <c r="F35" s="496"/>
      <c r="G35" s="497"/>
      <c r="H35" s="416"/>
      <c r="I35" s="163"/>
      <c r="J35" s="163"/>
      <c r="K35" s="163"/>
      <c r="N35" s="472"/>
      <c r="O35" s="472"/>
      <c r="P35" s="472"/>
    </row>
    <row r="36" spans="1:16" s="27" customFormat="1" ht="17.25" customHeight="1" thickTop="1" x14ac:dyDescent="0.2">
      <c r="B36" s="466"/>
      <c r="D36" s="466"/>
      <c r="F36" s="496"/>
      <c r="G36" s="497"/>
      <c r="H36" s="416"/>
      <c r="I36" s="163"/>
      <c r="J36" s="163"/>
      <c r="K36" s="163"/>
      <c r="N36" s="466"/>
      <c r="O36" s="466"/>
      <c r="P36" s="466"/>
    </row>
    <row r="37" spans="1:16" s="22" customFormat="1" ht="17.25" customHeight="1" x14ac:dyDescent="0.2">
      <c r="B37" s="468"/>
      <c r="D37" s="468"/>
      <c r="F37" s="496"/>
      <c r="G37" s="497"/>
      <c r="H37" s="417"/>
      <c r="I37" s="124"/>
      <c r="J37" s="124"/>
      <c r="K37" s="124"/>
    </row>
    <row r="38" spans="1:16" s="22" customFormat="1" x14ac:dyDescent="0.2">
      <c r="A38" s="637"/>
      <c r="B38" s="637"/>
      <c r="C38" s="637"/>
      <c r="D38" s="637"/>
      <c r="F38" s="107"/>
      <c r="G38" s="28"/>
      <c r="H38" s="418"/>
      <c r="I38" s="121"/>
      <c r="J38" s="121"/>
      <c r="K38" s="121"/>
    </row>
    <row r="39" spans="1:16" s="22" customFormat="1" x14ac:dyDescent="0.2">
      <c r="A39" s="637"/>
      <c r="B39" s="637"/>
      <c r="C39" s="637"/>
      <c r="D39" s="637"/>
      <c r="H39" s="419"/>
      <c r="I39" s="161"/>
      <c r="J39" s="161"/>
      <c r="K39" s="161"/>
    </row>
    <row r="40" spans="1:16" s="28" customFormat="1" ht="15.75" x14ac:dyDescent="0.25">
      <c r="A40" s="494"/>
      <c r="B40" s="495"/>
      <c r="C40" s="494"/>
      <c r="D40" s="494"/>
      <c r="H40" s="420"/>
      <c r="I40" s="169"/>
      <c r="J40" s="169"/>
      <c r="K40" s="169"/>
    </row>
    <row r="41" spans="1:16" s="28" customFormat="1" x14ac:dyDescent="0.2">
      <c r="A41" s="106"/>
      <c r="B41" s="107"/>
      <c r="E41" s="107"/>
      <c r="F41" s="106"/>
      <c r="G41" s="107"/>
      <c r="H41" s="421"/>
      <c r="I41" s="168"/>
      <c r="J41" s="168"/>
      <c r="K41" s="168"/>
      <c r="L41" s="105"/>
      <c r="M41" s="105"/>
    </row>
    <row r="42" spans="1:16" s="28" customFormat="1" x14ac:dyDescent="0.2">
      <c r="A42" s="105"/>
      <c r="B42" s="105"/>
      <c r="E42" s="105"/>
      <c r="F42" s="105"/>
      <c r="G42" s="105"/>
      <c r="H42" s="422"/>
      <c r="I42" s="162"/>
      <c r="J42" s="162"/>
      <c r="K42" s="162"/>
      <c r="L42" s="105"/>
      <c r="M42" s="105"/>
    </row>
    <row r="43" spans="1:16" s="28" customFormat="1" x14ac:dyDescent="0.2">
      <c r="A43" s="105"/>
      <c r="B43" s="105"/>
      <c r="E43" s="105"/>
      <c r="F43" s="105"/>
      <c r="G43" s="105"/>
      <c r="H43" s="429"/>
      <c r="I43" s="430"/>
      <c r="J43" s="430"/>
      <c r="K43" s="430"/>
      <c r="L43" s="105"/>
      <c r="M43" s="105"/>
    </row>
    <row r="44" spans="1:16" s="28" customFormat="1" ht="15" x14ac:dyDescent="0.25">
      <c r="H44" s="22"/>
      <c r="I44" s="137"/>
      <c r="J44" s="137"/>
      <c r="K44" s="137"/>
    </row>
    <row r="45" spans="1:16" s="28" customFormat="1" x14ac:dyDescent="0.2"/>
    <row r="46" spans="1:16" s="28" customFormat="1" x14ac:dyDescent="0.2"/>
    <row r="47" spans="1:16" s="28" customFormat="1" x14ac:dyDescent="0.2">
      <c r="I47" s="493"/>
    </row>
    <row r="48" spans="1:16" s="28" customFormat="1" x14ac:dyDescent="0.2"/>
    <row r="49" spans="10:10" s="28" customFormat="1" x14ac:dyDescent="0.2"/>
    <row r="50" spans="10:10" s="28" customFormat="1" x14ac:dyDescent="0.2"/>
    <row r="51" spans="10:10" s="28" customFormat="1" x14ac:dyDescent="0.2">
      <c r="J51" s="471"/>
    </row>
    <row r="52" spans="10:10" s="28" customFormat="1" x14ac:dyDescent="0.2">
      <c r="J52" s="471"/>
    </row>
    <row r="53" spans="10:10" s="28" customFormat="1" x14ac:dyDescent="0.2">
      <c r="J53" s="471"/>
    </row>
    <row r="54" spans="10:10" s="28" customFormat="1" x14ac:dyDescent="0.2"/>
    <row r="55" spans="10:10" s="28" customFormat="1" x14ac:dyDescent="0.2"/>
    <row r="56" spans="10:10" s="28" customFormat="1" x14ac:dyDescent="0.2"/>
    <row r="57" spans="10:10" s="28" customFormat="1" x14ac:dyDescent="0.2"/>
    <row r="58" spans="10:10" s="28" customFormat="1" x14ac:dyDescent="0.2"/>
    <row r="59" spans="10:10" s="28" customFormat="1" x14ac:dyDescent="0.2"/>
  </sheetData>
  <mergeCells count="3">
    <mergeCell ref="F23:G23"/>
    <mergeCell ref="F28:G28"/>
    <mergeCell ref="A38:D39"/>
  </mergeCells>
  <pageMargins left="0.78740157480314965" right="0.78740157480314965" top="0.98425196850393704" bottom="0.98425196850393704" header="0.51181102362204722" footer="0.51181102362204722"/>
  <pageSetup paperSize="9" scale="91" firstPageNumber="168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L448"/>
  <sheetViews>
    <sheetView showGridLines="0" view="pageBreakPreview" zoomScaleNormal="100" zoomScaleSheetLayoutView="100" workbookViewId="0">
      <selection activeCell="I25" sqref="I25"/>
    </sheetView>
  </sheetViews>
  <sheetFormatPr defaultColWidth="9.140625" defaultRowHeight="12.75" x14ac:dyDescent="0.2"/>
  <cols>
    <col min="1" max="1" width="77.7109375" style="5" customWidth="1"/>
    <col min="2" max="2" width="17.140625" style="5" customWidth="1"/>
    <col min="3" max="3" width="17.42578125" style="5" customWidth="1"/>
    <col min="4" max="4" width="17.28515625" style="5" bestFit="1" customWidth="1"/>
    <col min="5" max="5" width="7.5703125" style="37" customWidth="1"/>
    <col min="6" max="6" width="8.85546875" style="89" customWidth="1"/>
    <col min="7" max="7" width="22.42578125" style="38" customWidth="1"/>
    <col min="8" max="8" width="9.85546875" style="38" customWidth="1"/>
    <col min="9" max="9" width="19.42578125" style="5" customWidth="1"/>
    <col min="10" max="10" width="17.42578125" style="5" customWidth="1"/>
    <col min="11" max="11" width="20.7109375" style="5" customWidth="1"/>
    <col min="12" max="12" width="17.5703125" style="5" customWidth="1"/>
    <col min="13" max="13" width="14.28515625" style="5" customWidth="1"/>
    <col min="14" max="16384" width="9.140625" style="5"/>
  </cols>
  <sheetData>
    <row r="1" spans="1:12" s="32" customFormat="1" ht="18" x14ac:dyDescent="0.25">
      <c r="A1" s="29" t="s">
        <v>312</v>
      </c>
      <c r="B1" s="29"/>
      <c r="C1" s="29"/>
      <c r="D1" s="29"/>
      <c r="E1" s="29"/>
      <c r="F1" s="88"/>
      <c r="G1" s="30"/>
      <c r="H1" s="31"/>
    </row>
    <row r="2" spans="1:12" s="35" customFormat="1" ht="15.75" x14ac:dyDescent="0.25">
      <c r="A2" s="33" t="s">
        <v>66</v>
      </c>
      <c r="B2" s="34"/>
      <c r="C2" s="34"/>
      <c r="D2" s="34"/>
      <c r="E2" s="34"/>
      <c r="F2" s="88"/>
      <c r="G2" s="30"/>
      <c r="H2" s="31"/>
    </row>
    <row r="3" spans="1:12" ht="12" customHeight="1" x14ac:dyDescent="0.2"/>
    <row r="4" spans="1:12" ht="15" customHeight="1" x14ac:dyDescent="0.25">
      <c r="A4" s="36" t="s">
        <v>19</v>
      </c>
    </row>
    <row r="5" spans="1:12" ht="15.75" thickBot="1" x14ac:dyDescent="0.3">
      <c r="A5" s="39" t="s">
        <v>67</v>
      </c>
      <c r="D5" s="3"/>
      <c r="E5" s="40" t="s">
        <v>18</v>
      </c>
    </row>
    <row r="6" spans="1:12" ht="14.25" thickTop="1" thickBot="1" x14ac:dyDescent="0.25">
      <c r="A6" s="41" t="s">
        <v>5</v>
      </c>
      <c r="B6" s="42" t="s">
        <v>0</v>
      </c>
      <c r="C6" s="43" t="s">
        <v>1</v>
      </c>
      <c r="D6" s="44" t="s">
        <v>4</v>
      </c>
      <c r="E6" s="45" t="s">
        <v>6</v>
      </c>
    </row>
    <row r="7" spans="1:12" ht="15.75" thickTop="1" x14ac:dyDescent="0.25">
      <c r="A7" s="147" t="s">
        <v>7</v>
      </c>
      <c r="B7" s="108">
        <f>SUM(B8:B55)</f>
        <v>118197000</v>
      </c>
      <c r="C7" s="108">
        <f t="shared" ref="C7:D7" si="0">SUM(C8:C55)</f>
        <v>204427032.60999998</v>
      </c>
      <c r="D7" s="108">
        <f t="shared" si="0"/>
        <v>131971276.64</v>
      </c>
      <c r="E7" s="632">
        <f t="shared" ref="E7" si="1">D7/C7*100</f>
        <v>64.556665992296132</v>
      </c>
      <c r="H7" s="54"/>
      <c r="I7" s="126"/>
      <c r="J7" s="127"/>
      <c r="K7" s="128"/>
    </row>
    <row r="8" spans="1:12" x14ac:dyDescent="0.2">
      <c r="A8" s="455" t="s">
        <v>248</v>
      </c>
      <c r="B8" s="453">
        <v>500000</v>
      </c>
      <c r="C8" s="537">
        <v>356327</v>
      </c>
      <c r="D8" s="456">
        <v>0</v>
      </c>
      <c r="E8" s="454">
        <f t="shared" ref="E8:E40" si="2">D8/C8*100</f>
        <v>0</v>
      </c>
      <c r="G8" s="112" t="s">
        <v>32</v>
      </c>
      <c r="H8" s="54"/>
      <c r="I8" s="126"/>
      <c r="J8" s="127"/>
      <c r="K8" s="128"/>
    </row>
    <row r="9" spans="1:12" s="86" customFormat="1" ht="25.5" x14ac:dyDescent="0.2">
      <c r="A9" s="218" t="s">
        <v>161</v>
      </c>
      <c r="B9" s="214">
        <v>18475000</v>
      </c>
      <c r="C9" s="215">
        <v>15929832.5</v>
      </c>
      <c r="D9" s="217">
        <v>15898130.5</v>
      </c>
      <c r="E9" s="216">
        <f t="shared" si="2"/>
        <v>99.800989746753459</v>
      </c>
      <c r="F9" s="79">
        <v>101142</v>
      </c>
      <c r="G9" s="112" t="s">
        <v>32</v>
      </c>
      <c r="H9" s="85"/>
      <c r="I9" s="123"/>
      <c r="J9" s="124"/>
      <c r="K9" s="124"/>
      <c r="L9" s="124"/>
    </row>
    <row r="10" spans="1:12" s="86" customFormat="1" ht="25.5" x14ac:dyDescent="0.2">
      <c r="A10" s="218" t="s">
        <v>405</v>
      </c>
      <c r="B10" s="214">
        <v>0</v>
      </c>
      <c r="C10" s="215">
        <v>1000</v>
      </c>
      <c r="D10" s="217">
        <v>1000</v>
      </c>
      <c r="E10" s="216">
        <f t="shared" si="2"/>
        <v>100</v>
      </c>
      <c r="F10" s="79">
        <v>101149</v>
      </c>
      <c r="G10" s="112" t="s">
        <v>32</v>
      </c>
      <c r="H10" s="85"/>
      <c r="I10" s="123"/>
      <c r="J10" s="124"/>
      <c r="K10" s="124"/>
      <c r="L10" s="124"/>
    </row>
    <row r="11" spans="1:12" s="86" customFormat="1" ht="25.5" x14ac:dyDescent="0.2">
      <c r="A11" s="218" t="s">
        <v>56</v>
      </c>
      <c r="B11" s="214">
        <v>0</v>
      </c>
      <c r="C11" s="215">
        <v>157905</v>
      </c>
      <c r="D11" s="217">
        <v>0</v>
      </c>
      <c r="E11" s="216">
        <f t="shared" si="2"/>
        <v>0</v>
      </c>
      <c r="F11" s="79">
        <v>101150</v>
      </c>
      <c r="G11" s="112" t="s">
        <v>32</v>
      </c>
      <c r="H11" s="174"/>
      <c r="I11" s="123"/>
      <c r="J11" s="124"/>
      <c r="K11" s="124"/>
      <c r="L11" s="124"/>
    </row>
    <row r="12" spans="1:12" s="86" customFormat="1" ht="25.5" x14ac:dyDescent="0.2">
      <c r="A12" s="218" t="s">
        <v>72</v>
      </c>
      <c r="B12" s="214">
        <v>0</v>
      </c>
      <c r="C12" s="215">
        <v>1000</v>
      </c>
      <c r="D12" s="217">
        <v>1000</v>
      </c>
      <c r="E12" s="216">
        <f t="shared" si="2"/>
        <v>100</v>
      </c>
      <c r="F12" s="79">
        <v>101165</v>
      </c>
      <c r="G12" s="112" t="s">
        <v>32</v>
      </c>
      <c r="H12" s="174"/>
      <c r="I12" s="123"/>
      <c r="J12" s="124"/>
      <c r="K12" s="124"/>
      <c r="L12" s="124"/>
    </row>
    <row r="13" spans="1:12" s="86" customFormat="1" x14ac:dyDescent="0.2">
      <c r="A13" s="473" t="s">
        <v>406</v>
      </c>
      <c r="B13" s="474">
        <v>0</v>
      </c>
      <c r="C13" s="516">
        <v>1918000</v>
      </c>
      <c r="D13" s="513">
        <v>420112</v>
      </c>
      <c r="E13" s="216">
        <f t="shared" si="2"/>
        <v>21.903649635036494</v>
      </c>
      <c r="F13" s="79">
        <v>101212</v>
      </c>
      <c r="G13" s="112" t="s">
        <v>32</v>
      </c>
      <c r="H13" s="174"/>
      <c r="I13" s="123"/>
      <c r="J13" s="124"/>
      <c r="K13" s="124"/>
      <c r="L13" s="124"/>
    </row>
    <row r="14" spans="1:12" s="86" customFormat="1" ht="38.25" x14ac:dyDescent="0.2">
      <c r="A14" s="473" t="s">
        <v>254</v>
      </c>
      <c r="B14" s="474">
        <v>0</v>
      </c>
      <c r="C14" s="516">
        <v>3389000</v>
      </c>
      <c r="D14" s="513">
        <v>42350</v>
      </c>
      <c r="E14" s="216">
        <f t="shared" si="2"/>
        <v>1.2496311596341103</v>
      </c>
      <c r="F14" s="79">
        <v>101270</v>
      </c>
      <c r="G14" s="112" t="s">
        <v>32</v>
      </c>
      <c r="H14" s="174"/>
      <c r="I14" s="123"/>
      <c r="J14" s="124"/>
      <c r="K14" s="124"/>
      <c r="L14" s="124"/>
    </row>
    <row r="15" spans="1:12" s="86" customFormat="1" x14ac:dyDescent="0.2">
      <c r="A15" s="503" t="s">
        <v>255</v>
      </c>
      <c r="B15" s="474">
        <v>8596000</v>
      </c>
      <c r="C15" s="516">
        <v>7741408.96</v>
      </c>
      <c r="D15" s="513">
        <v>7741408.96</v>
      </c>
      <c r="E15" s="216">
        <f t="shared" si="2"/>
        <v>100</v>
      </c>
      <c r="F15" s="79">
        <v>101280</v>
      </c>
      <c r="G15" s="135" t="s">
        <v>32</v>
      </c>
      <c r="H15" s="174"/>
      <c r="I15" s="124"/>
      <c r="J15" s="124"/>
      <c r="K15" s="124"/>
      <c r="L15" s="124"/>
    </row>
    <row r="16" spans="1:12" s="86" customFormat="1" x14ac:dyDescent="0.2">
      <c r="A16" s="473" t="s">
        <v>407</v>
      </c>
      <c r="B16" s="474">
        <v>0</v>
      </c>
      <c r="C16" s="516">
        <v>16928</v>
      </c>
      <c r="D16" s="513">
        <v>16928</v>
      </c>
      <c r="E16" s="216">
        <f t="shared" si="2"/>
        <v>100</v>
      </c>
      <c r="F16" s="79">
        <v>101284</v>
      </c>
      <c r="G16" s="135" t="s">
        <v>32</v>
      </c>
      <c r="H16" s="174"/>
      <c r="I16" s="123"/>
      <c r="J16" s="124"/>
      <c r="K16" s="124"/>
      <c r="L16" s="124"/>
    </row>
    <row r="17" spans="1:12" s="86" customFormat="1" x14ac:dyDescent="0.2">
      <c r="A17" s="473" t="s">
        <v>256</v>
      </c>
      <c r="B17" s="474">
        <v>0</v>
      </c>
      <c r="C17" s="516">
        <v>108878.12</v>
      </c>
      <c r="D17" s="513">
        <v>108878.12</v>
      </c>
      <c r="E17" s="216">
        <f t="shared" si="2"/>
        <v>100</v>
      </c>
      <c r="F17" s="79">
        <v>101352</v>
      </c>
      <c r="G17" s="112" t="s">
        <v>32</v>
      </c>
      <c r="H17" s="174"/>
      <c r="I17" s="123"/>
      <c r="J17" s="124"/>
      <c r="K17" s="124"/>
      <c r="L17" s="124"/>
    </row>
    <row r="18" spans="1:12" s="86" customFormat="1" ht="25.5" x14ac:dyDescent="0.2">
      <c r="A18" s="218" t="s">
        <v>257</v>
      </c>
      <c r="B18" s="214">
        <v>27448000</v>
      </c>
      <c r="C18" s="217">
        <v>32147773.800000001</v>
      </c>
      <c r="D18" s="217">
        <v>25503436.59</v>
      </c>
      <c r="E18" s="216">
        <f t="shared" si="2"/>
        <v>79.331890129200801</v>
      </c>
      <c r="F18" s="79">
        <v>101358</v>
      </c>
      <c r="G18" s="112" t="s">
        <v>32</v>
      </c>
      <c r="H18" s="174"/>
      <c r="I18" s="124"/>
      <c r="J18" s="124"/>
      <c r="K18" s="124"/>
      <c r="L18" s="124"/>
    </row>
    <row r="19" spans="1:12" s="86" customFormat="1" ht="25.5" x14ac:dyDescent="0.2">
      <c r="A19" s="218" t="s">
        <v>258</v>
      </c>
      <c r="B19" s="214">
        <v>0</v>
      </c>
      <c r="C19" s="217">
        <v>610000</v>
      </c>
      <c r="D19" s="217">
        <v>469640</v>
      </c>
      <c r="E19" s="216">
        <f t="shared" si="2"/>
        <v>76.990163934426221</v>
      </c>
      <c r="F19" s="79">
        <v>101360</v>
      </c>
      <c r="G19" s="112" t="s">
        <v>32</v>
      </c>
      <c r="H19" s="174"/>
      <c r="I19" s="124"/>
      <c r="J19" s="124"/>
      <c r="K19" s="124"/>
      <c r="L19" s="124"/>
    </row>
    <row r="20" spans="1:12" s="86" customFormat="1" x14ac:dyDescent="0.2">
      <c r="A20" s="218" t="s">
        <v>125</v>
      </c>
      <c r="B20" s="214">
        <v>700000</v>
      </c>
      <c r="C20" s="217">
        <v>700000</v>
      </c>
      <c r="D20" s="217">
        <v>403777</v>
      </c>
      <c r="E20" s="216">
        <f t="shared" si="2"/>
        <v>57.682428571428566</v>
      </c>
      <c r="F20" s="79">
        <v>101362</v>
      </c>
      <c r="G20" s="112" t="s">
        <v>32</v>
      </c>
      <c r="H20" s="174"/>
      <c r="I20" s="124"/>
      <c r="J20" s="124"/>
      <c r="K20" s="124"/>
      <c r="L20" s="124"/>
    </row>
    <row r="21" spans="1:12" s="86" customFormat="1" x14ac:dyDescent="0.2">
      <c r="A21" s="218" t="s">
        <v>408</v>
      </c>
      <c r="B21" s="214">
        <v>6214000</v>
      </c>
      <c r="C21" s="217">
        <v>7020000</v>
      </c>
      <c r="D21" s="217">
        <v>6812394.4500000002</v>
      </c>
      <c r="E21" s="216">
        <f t="shared" si="2"/>
        <v>97.042655982905984</v>
      </c>
      <c r="F21" s="79">
        <v>101365</v>
      </c>
      <c r="G21" s="112" t="s">
        <v>32</v>
      </c>
      <c r="H21" s="174"/>
      <c r="I21" s="124"/>
      <c r="J21" s="124"/>
      <c r="K21" s="124"/>
      <c r="L21" s="124"/>
    </row>
    <row r="22" spans="1:12" s="86" customFormat="1" ht="38.25" x14ac:dyDescent="0.2">
      <c r="A22" s="218" t="s">
        <v>259</v>
      </c>
      <c r="B22" s="214">
        <v>2745000</v>
      </c>
      <c r="C22" s="217">
        <v>0</v>
      </c>
      <c r="D22" s="217">
        <v>0</v>
      </c>
      <c r="E22" s="216">
        <v>0</v>
      </c>
      <c r="F22" s="79">
        <v>101370</v>
      </c>
      <c r="G22" s="112" t="s">
        <v>32</v>
      </c>
      <c r="H22" s="174"/>
      <c r="I22" s="124"/>
      <c r="J22" s="124"/>
      <c r="K22" s="124"/>
      <c r="L22" s="124"/>
    </row>
    <row r="23" spans="1:12" s="86" customFormat="1" ht="25.5" x14ac:dyDescent="0.2">
      <c r="A23" s="218" t="s">
        <v>409</v>
      </c>
      <c r="B23" s="214">
        <v>0</v>
      </c>
      <c r="C23" s="217">
        <v>2000</v>
      </c>
      <c r="D23" s="217">
        <v>2000</v>
      </c>
      <c r="E23" s="216">
        <f t="shared" si="2"/>
        <v>100</v>
      </c>
      <c r="F23" s="79">
        <v>101374</v>
      </c>
      <c r="G23" s="112" t="s">
        <v>32</v>
      </c>
      <c r="H23" s="174"/>
      <c r="I23" s="124"/>
      <c r="J23" s="124"/>
      <c r="K23" s="124"/>
      <c r="L23" s="124"/>
    </row>
    <row r="24" spans="1:12" s="86" customFormat="1" ht="25.5" x14ac:dyDescent="0.2">
      <c r="A24" s="218" t="s">
        <v>410</v>
      </c>
      <c r="B24" s="214">
        <v>0</v>
      </c>
      <c r="C24" s="217">
        <v>15042921.9</v>
      </c>
      <c r="D24" s="217">
        <v>935136.57</v>
      </c>
      <c r="E24" s="216">
        <f t="shared" si="2"/>
        <v>6.2164556607848898</v>
      </c>
      <c r="F24" s="79">
        <v>101375</v>
      </c>
      <c r="G24" s="112" t="s">
        <v>32</v>
      </c>
      <c r="H24" s="174"/>
      <c r="I24" s="124"/>
      <c r="J24" s="124"/>
      <c r="K24" s="124"/>
      <c r="L24" s="124"/>
    </row>
    <row r="25" spans="1:12" s="86" customFormat="1" ht="25.5" x14ac:dyDescent="0.2">
      <c r="A25" s="218" t="s">
        <v>411</v>
      </c>
      <c r="B25" s="214">
        <v>0</v>
      </c>
      <c r="C25" s="217">
        <v>9700000</v>
      </c>
      <c r="D25" s="217">
        <v>2697105.39</v>
      </c>
      <c r="E25" s="216">
        <f t="shared" si="2"/>
        <v>27.805210206185571</v>
      </c>
      <c r="F25" s="79">
        <v>101376</v>
      </c>
      <c r="G25" s="112" t="s">
        <v>32</v>
      </c>
      <c r="H25" s="174"/>
      <c r="I25" s="124"/>
      <c r="J25" s="124"/>
      <c r="K25" s="124"/>
      <c r="L25" s="124"/>
    </row>
    <row r="26" spans="1:12" s="86" customFormat="1" x14ac:dyDescent="0.2">
      <c r="A26" s="218" t="s">
        <v>260</v>
      </c>
      <c r="B26" s="214">
        <v>13279000</v>
      </c>
      <c r="C26" s="217">
        <v>13279000</v>
      </c>
      <c r="D26" s="217">
        <v>9913031.7799999993</v>
      </c>
      <c r="E26" s="216">
        <f t="shared" si="2"/>
        <v>74.651945025980865</v>
      </c>
      <c r="F26" s="79">
        <v>101380</v>
      </c>
      <c r="G26" s="112" t="s">
        <v>32</v>
      </c>
      <c r="H26" s="174"/>
      <c r="I26" s="124"/>
      <c r="J26" s="124"/>
      <c r="K26" s="124"/>
      <c r="L26" s="124"/>
    </row>
    <row r="27" spans="1:12" s="86" customFormat="1" ht="25.5" x14ac:dyDescent="0.2">
      <c r="A27" s="218" t="s">
        <v>412</v>
      </c>
      <c r="B27" s="214">
        <v>0</v>
      </c>
      <c r="C27" s="217">
        <v>9014000</v>
      </c>
      <c r="D27" s="217">
        <v>20570</v>
      </c>
      <c r="E27" s="216">
        <f t="shared" si="2"/>
        <v>0.22820057688040826</v>
      </c>
      <c r="F27" s="79">
        <v>101381</v>
      </c>
      <c r="G27" s="112" t="s">
        <v>32</v>
      </c>
      <c r="H27" s="174"/>
      <c r="I27" s="124"/>
      <c r="J27" s="124"/>
      <c r="K27" s="124"/>
      <c r="L27" s="124"/>
    </row>
    <row r="28" spans="1:12" s="86" customFormat="1" x14ac:dyDescent="0.2">
      <c r="A28" s="218" t="s">
        <v>413</v>
      </c>
      <c r="B28" s="214">
        <v>0</v>
      </c>
      <c r="C28" s="217">
        <v>3000</v>
      </c>
      <c r="D28" s="217">
        <v>3000</v>
      </c>
      <c r="E28" s="216">
        <f t="shared" si="2"/>
        <v>100</v>
      </c>
      <c r="F28" s="79">
        <v>101382</v>
      </c>
      <c r="G28" s="112" t="s">
        <v>32</v>
      </c>
      <c r="H28" s="174"/>
      <c r="I28" s="124"/>
      <c r="J28" s="124"/>
      <c r="K28" s="124"/>
      <c r="L28" s="124"/>
    </row>
    <row r="29" spans="1:12" s="86" customFormat="1" ht="25.5" x14ac:dyDescent="0.2">
      <c r="A29" s="218" t="s">
        <v>414</v>
      </c>
      <c r="B29" s="214">
        <v>0</v>
      </c>
      <c r="C29" s="217">
        <v>8400000</v>
      </c>
      <c r="D29" s="217">
        <v>5169319.8899999997</v>
      </c>
      <c r="E29" s="216">
        <f t="shared" si="2"/>
        <v>61.539522499999997</v>
      </c>
      <c r="F29" s="79">
        <v>101386</v>
      </c>
      <c r="G29" s="112" t="s">
        <v>32</v>
      </c>
      <c r="H29" s="174"/>
      <c r="I29" s="124"/>
      <c r="J29" s="124"/>
      <c r="K29" s="124"/>
      <c r="L29" s="124"/>
    </row>
    <row r="30" spans="1:12" s="86" customFormat="1" x14ac:dyDescent="0.2">
      <c r="A30" s="218" t="s">
        <v>261</v>
      </c>
      <c r="B30" s="214">
        <v>11440000</v>
      </c>
      <c r="C30" s="217">
        <v>9640625.5</v>
      </c>
      <c r="D30" s="217">
        <v>8405832.9100000001</v>
      </c>
      <c r="E30" s="216">
        <f t="shared" si="2"/>
        <v>87.191779309340461</v>
      </c>
      <c r="F30" s="79">
        <v>101387</v>
      </c>
      <c r="G30" s="112" t="s">
        <v>32</v>
      </c>
      <c r="H30" s="174"/>
      <c r="I30" s="124"/>
      <c r="J30" s="124"/>
      <c r="K30" s="124"/>
      <c r="L30" s="124"/>
    </row>
    <row r="31" spans="1:12" s="86" customFormat="1" ht="25.5" x14ac:dyDescent="0.2">
      <c r="A31" s="218" t="s">
        <v>415</v>
      </c>
      <c r="B31" s="214">
        <v>8000000</v>
      </c>
      <c r="C31" s="217">
        <v>17225000</v>
      </c>
      <c r="D31" s="217">
        <v>14822462.710000001</v>
      </c>
      <c r="E31" s="216">
        <f t="shared" si="2"/>
        <v>86.052033149492019</v>
      </c>
      <c r="F31" s="79">
        <v>101397</v>
      </c>
      <c r="G31" s="112" t="s">
        <v>32</v>
      </c>
      <c r="H31" s="174"/>
      <c r="I31" s="124"/>
      <c r="J31" s="124"/>
      <c r="K31" s="124"/>
      <c r="L31" s="124"/>
    </row>
    <row r="32" spans="1:12" s="86" customFormat="1" ht="25.5" x14ac:dyDescent="0.2">
      <c r="A32" s="218" t="s">
        <v>416</v>
      </c>
      <c r="B32" s="214">
        <v>0</v>
      </c>
      <c r="C32" s="217">
        <v>6218108.9199999999</v>
      </c>
      <c r="D32" s="217">
        <v>3999267.99</v>
      </c>
      <c r="E32" s="216">
        <f t="shared" si="2"/>
        <v>64.316467296619834</v>
      </c>
      <c r="F32" s="79">
        <v>101401</v>
      </c>
      <c r="G32" s="112" t="s">
        <v>32</v>
      </c>
      <c r="H32" s="174"/>
      <c r="I32" s="124"/>
      <c r="J32" s="124"/>
      <c r="K32" s="124"/>
      <c r="L32" s="124"/>
    </row>
    <row r="33" spans="1:12" s="86" customFormat="1" ht="25.5" x14ac:dyDescent="0.2">
      <c r="A33" s="218" t="s">
        <v>417</v>
      </c>
      <c r="B33" s="214">
        <v>0</v>
      </c>
      <c r="C33" s="217">
        <v>2000</v>
      </c>
      <c r="D33" s="217">
        <v>2000</v>
      </c>
      <c r="E33" s="216">
        <f t="shared" si="2"/>
        <v>100</v>
      </c>
      <c r="F33" s="79">
        <v>101421</v>
      </c>
      <c r="G33" s="112" t="s">
        <v>32</v>
      </c>
      <c r="H33" s="174"/>
      <c r="I33" s="124"/>
      <c r="J33" s="124"/>
      <c r="K33" s="124"/>
      <c r="L33" s="124"/>
    </row>
    <row r="34" spans="1:12" s="86" customFormat="1" ht="25.5" x14ac:dyDescent="0.2">
      <c r="A34" s="218" t="s">
        <v>418</v>
      </c>
      <c r="B34" s="214">
        <v>0</v>
      </c>
      <c r="C34" s="217">
        <v>2000</v>
      </c>
      <c r="D34" s="217">
        <v>2000</v>
      </c>
      <c r="E34" s="216">
        <f t="shared" si="2"/>
        <v>100</v>
      </c>
      <c r="F34" s="79">
        <v>101424</v>
      </c>
      <c r="G34" s="112" t="s">
        <v>32</v>
      </c>
      <c r="H34" s="174"/>
      <c r="I34" s="124"/>
      <c r="J34" s="124"/>
      <c r="K34" s="124"/>
      <c r="L34" s="124"/>
    </row>
    <row r="35" spans="1:12" s="86" customFormat="1" ht="25.5" x14ac:dyDescent="0.2">
      <c r="A35" s="218" t="s">
        <v>419</v>
      </c>
      <c r="B35" s="214">
        <v>0</v>
      </c>
      <c r="C35" s="217">
        <v>6900000</v>
      </c>
      <c r="D35" s="217">
        <v>4622006.07</v>
      </c>
      <c r="E35" s="216">
        <f t="shared" si="2"/>
        <v>66.985595217391307</v>
      </c>
      <c r="F35" s="79">
        <v>101464</v>
      </c>
      <c r="G35" s="112" t="s">
        <v>32</v>
      </c>
      <c r="H35" s="174"/>
      <c r="I35" s="124"/>
      <c r="J35" s="124"/>
      <c r="K35" s="124"/>
      <c r="L35" s="124"/>
    </row>
    <row r="36" spans="1:12" s="86" customFormat="1" x14ac:dyDescent="0.2">
      <c r="A36" s="218" t="s">
        <v>420</v>
      </c>
      <c r="B36" s="214">
        <v>0</v>
      </c>
      <c r="C36" s="217">
        <v>6000</v>
      </c>
      <c r="D36" s="217">
        <v>6000</v>
      </c>
      <c r="E36" s="216">
        <f t="shared" si="2"/>
        <v>100</v>
      </c>
      <c r="F36" s="79">
        <v>101466</v>
      </c>
      <c r="G36" s="112" t="s">
        <v>32</v>
      </c>
      <c r="H36" s="174"/>
      <c r="I36" s="124"/>
      <c r="J36" s="124"/>
      <c r="K36" s="124"/>
      <c r="L36" s="124"/>
    </row>
    <row r="37" spans="1:12" s="86" customFormat="1" ht="25.5" x14ac:dyDescent="0.2">
      <c r="A37" s="218" t="s">
        <v>262</v>
      </c>
      <c r="B37" s="214">
        <v>0</v>
      </c>
      <c r="C37" s="217">
        <v>6679200</v>
      </c>
      <c r="D37" s="217">
        <v>1972756.43</v>
      </c>
      <c r="E37" s="216">
        <f t="shared" si="2"/>
        <v>29.535819110073064</v>
      </c>
      <c r="F37" s="79">
        <v>101522</v>
      </c>
      <c r="G37" s="112" t="s">
        <v>32</v>
      </c>
      <c r="H37" s="174"/>
      <c r="I37" s="124"/>
      <c r="J37" s="124"/>
      <c r="K37" s="124"/>
      <c r="L37" s="124"/>
    </row>
    <row r="38" spans="1:12" s="86" customFormat="1" ht="25.5" x14ac:dyDescent="0.2">
      <c r="A38" s="218" t="s">
        <v>263</v>
      </c>
      <c r="B38" s="214">
        <v>5500000</v>
      </c>
      <c r="C38" s="217">
        <v>2249632.23</v>
      </c>
      <c r="D38" s="217">
        <v>2249632.23</v>
      </c>
      <c r="E38" s="216">
        <f t="shared" si="2"/>
        <v>100</v>
      </c>
      <c r="F38" s="79">
        <v>101529</v>
      </c>
      <c r="G38" s="112" t="s">
        <v>32</v>
      </c>
      <c r="H38" s="174"/>
      <c r="I38" s="124"/>
      <c r="J38" s="124"/>
      <c r="K38" s="124"/>
      <c r="L38" s="124"/>
    </row>
    <row r="39" spans="1:12" s="86" customFormat="1" ht="25.5" x14ac:dyDescent="0.2">
      <c r="A39" s="218" t="s">
        <v>264</v>
      </c>
      <c r="B39" s="214">
        <v>500000</v>
      </c>
      <c r="C39" s="217">
        <v>3277657.47</v>
      </c>
      <c r="D39" s="217">
        <v>3277657.47</v>
      </c>
      <c r="E39" s="216">
        <f t="shared" si="2"/>
        <v>100</v>
      </c>
      <c r="F39" s="79">
        <v>101540</v>
      </c>
      <c r="G39" s="112" t="s">
        <v>32</v>
      </c>
      <c r="H39" s="174"/>
      <c r="I39" s="124"/>
      <c r="J39" s="124"/>
      <c r="K39" s="124"/>
      <c r="L39" s="124"/>
    </row>
    <row r="40" spans="1:12" s="86" customFormat="1" x14ac:dyDescent="0.2">
      <c r="A40" s="218" t="s">
        <v>265</v>
      </c>
      <c r="B40" s="214">
        <v>1200000</v>
      </c>
      <c r="C40" s="217">
        <v>1018500</v>
      </c>
      <c r="D40" s="217">
        <v>224350</v>
      </c>
      <c r="E40" s="216">
        <f t="shared" si="2"/>
        <v>22.027491408934708</v>
      </c>
      <c r="F40" s="79">
        <v>101541</v>
      </c>
      <c r="G40" s="112" t="s">
        <v>32</v>
      </c>
      <c r="H40" s="174"/>
      <c r="I40" s="124"/>
      <c r="J40" s="124"/>
      <c r="K40" s="124"/>
      <c r="L40" s="124"/>
    </row>
    <row r="41" spans="1:12" s="86" customFormat="1" x14ac:dyDescent="0.2">
      <c r="A41" s="218" t="s">
        <v>266</v>
      </c>
      <c r="B41" s="214">
        <v>2000000</v>
      </c>
      <c r="C41" s="217">
        <v>1598255.11</v>
      </c>
      <c r="D41" s="217">
        <v>181500</v>
      </c>
      <c r="E41" s="216">
        <f t="shared" ref="E41:E55" si="3">D41/C41*100</f>
        <v>11.356134503458588</v>
      </c>
      <c r="F41" s="79">
        <v>101543</v>
      </c>
      <c r="G41" s="112" t="s">
        <v>32</v>
      </c>
      <c r="H41" s="174"/>
      <c r="I41" s="124"/>
      <c r="J41" s="124"/>
      <c r="K41" s="124"/>
      <c r="L41" s="124"/>
    </row>
    <row r="42" spans="1:12" s="86" customFormat="1" x14ac:dyDescent="0.2">
      <c r="A42" s="473" t="s">
        <v>421</v>
      </c>
      <c r="B42" s="474">
        <v>3000000</v>
      </c>
      <c r="C42" s="513">
        <v>863000</v>
      </c>
      <c r="D42" s="513">
        <v>8470</v>
      </c>
      <c r="E42" s="475">
        <f t="shared" si="3"/>
        <v>0.98146002317497116</v>
      </c>
      <c r="F42" s="79">
        <v>101549</v>
      </c>
      <c r="G42" s="112" t="s">
        <v>32</v>
      </c>
      <c r="H42" s="174"/>
      <c r="I42" s="124"/>
      <c r="J42" s="124"/>
      <c r="K42" s="124"/>
      <c r="L42" s="124"/>
    </row>
    <row r="43" spans="1:12" s="86" customFormat="1" ht="25.5" x14ac:dyDescent="0.2">
      <c r="A43" s="473" t="s">
        <v>422</v>
      </c>
      <c r="B43" s="474">
        <v>7000000</v>
      </c>
      <c r="C43" s="513">
        <v>438078.1</v>
      </c>
      <c r="D43" s="513">
        <v>438078.1</v>
      </c>
      <c r="E43" s="475">
        <f t="shared" si="3"/>
        <v>100</v>
      </c>
      <c r="F43" s="79">
        <v>101577</v>
      </c>
      <c r="G43" s="112" t="s">
        <v>32</v>
      </c>
      <c r="H43" s="174"/>
      <c r="I43" s="124"/>
      <c r="J43" s="124"/>
      <c r="K43" s="124"/>
      <c r="L43" s="124"/>
    </row>
    <row r="44" spans="1:12" s="86" customFormat="1" ht="25.5" x14ac:dyDescent="0.2">
      <c r="A44" s="473" t="s">
        <v>423</v>
      </c>
      <c r="B44" s="474">
        <v>300000</v>
      </c>
      <c r="C44" s="513">
        <v>2840000</v>
      </c>
      <c r="D44" s="513">
        <v>2805940.39</v>
      </c>
      <c r="E44" s="475">
        <f t="shared" si="3"/>
        <v>98.800717957746485</v>
      </c>
      <c r="F44" s="79">
        <v>101578</v>
      </c>
      <c r="G44" s="112" t="s">
        <v>32</v>
      </c>
      <c r="H44" s="174"/>
      <c r="I44" s="124"/>
      <c r="J44" s="124"/>
      <c r="K44" s="124"/>
      <c r="L44" s="124"/>
    </row>
    <row r="45" spans="1:12" s="86" customFormat="1" ht="25.5" x14ac:dyDescent="0.2">
      <c r="A45" s="473" t="s">
        <v>424</v>
      </c>
      <c r="B45" s="474">
        <v>300000</v>
      </c>
      <c r="C45" s="513">
        <v>300000</v>
      </c>
      <c r="D45" s="513">
        <v>194970</v>
      </c>
      <c r="E45" s="475">
        <f t="shared" si="3"/>
        <v>64.990000000000009</v>
      </c>
      <c r="F45" s="79">
        <v>101579</v>
      </c>
      <c r="G45" s="112" t="s">
        <v>32</v>
      </c>
      <c r="H45" s="174"/>
      <c r="I45" s="124"/>
      <c r="J45" s="124"/>
      <c r="K45" s="124"/>
      <c r="L45" s="124"/>
    </row>
    <row r="46" spans="1:12" s="86" customFormat="1" ht="25.5" x14ac:dyDescent="0.2">
      <c r="A46" s="473" t="s">
        <v>425</v>
      </c>
      <c r="B46" s="474">
        <v>500000</v>
      </c>
      <c r="C46" s="513">
        <v>500000</v>
      </c>
      <c r="D46" s="513">
        <v>0</v>
      </c>
      <c r="E46" s="475">
        <f t="shared" si="3"/>
        <v>0</v>
      </c>
      <c r="F46" s="79">
        <v>101580</v>
      </c>
      <c r="G46" s="112" t="s">
        <v>32</v>
      </c>
      <c r="H46" s="174"/>
      <c r="I46" s="124"/>
      <c r="J46" s="124"/>
      <c r="K46" s="124"/>
      <c r="L46" s="124"/>
    </row>
    <row r="47" spans="1:12" s="86" customFormat="1" x14ac:dyDescent="0.2">
      <c r="A47" s="473" t="s">
        <v>426</v>
      </c>
      <c r="B47" s="474">
        <v>500000</v>
      </c>
      <c r="C47" s="513">
        <v>6101000</v>
      </c>
      <c r="D47" s="513">
        <v>5607929</v>
      </c>
      <c r="E47" s="475">
        <f t="shared" si="3"/>
        <v>91.918193738731361</v>
      </c>
      <c r="F47" s="79">
        <v>101581</v>
      </c>
      <c r="G47" s="112" t="s">
        <v>32</v>
      </c>
      <c r="H47" s="174"/>
      <c r="I47" s="124"/>
      <c r="J47" s="124"/>
      <c r="K47" s="124"/>
      <c r="L47" s="124"/>
    </row>
    <row r="48" spans="1:12" s="86" customFormat="1" ht="25.5" x14ac:dyDescent="0.2">
      <c r="A48" s="473" t="s">
        <v>427</v>
      </c>
      <c r="B48" s="474">
        <v>0</v>
      </c>
      <c r="C48" s="513">
        <v>600000</v>
      </c>
      <c r="D48" s="513">
        <v>117370</v>
      </c>
      <c r="E48" s="475">
        <f t="shared" si="3"/>
        <v>19.561666666666667</v>
      </c>
      <c r="F48" s="79">
        <v>101593</v>
      </c>
      <c r="G48" s="112" t="s">
        <v>32</v>
      </c>
      <c r="H48" s="174"/>
      <c r="I48" s="124"/>
      <c r="J48" s="124"/>
      <c r="K48" s="124"/>
      <c r="L48" s="124"/>
    </row>
    <row r="49" spans="1:12" s="86" customFormat="1" x14ac:dyDescent="0.2">
      <c r="A49" s="473" t="s">
        <v>428</v>
      </c>
      <c r="B49" s="474">
        <v>0</v>
      </c>
      <c r="C49" s="513">
        <v>3702000</v>
      </c>
      <c r="D49" s="513">
        <v>791262.92</v>
      </c>
      <c r="E49" s="475">
        <f t="shared" si="3"/>
        <v>21.373930848190167</v>
      </c>
      <c r="F49" s="79">
        <v>101596</v>
      </c>
      <c r="G49" s="112" t="s">
        <v>32</v>
      </c>
      <c r="H49" s="174"/>
      <c r="I49" s="124"/>
      <c r="J49" s="124"/>
      <c r="K49" s="124"/>
      <c r="L49" s="124"/>
    </row>
    <row r="50" spans="1:12" s="86" customFormat="1" x14ac:dyDescent="0.2">
      <c r="A50" s="473" t="s">
        <v>429</v>
      </c>
      <c r="B50" s="474">
        <v>0</v>
      </c>
      <c r="C50" s="513">
        <v>500000</v>
      </c>
      <c r="D50" s="513">
        <v>26958.799999999999</v>
      </c>
      <c r="E50" s="475">
        <f t="shared" si="3"/>
        <v>5.3917599999999997</v>
      </c>
      <c r="F50" s="79">
        <v>101597</v>
      </c>
      <c r="G50" s="112" t="s">
        <v>32</v>
      </c>
      <c r="H50" s="174"/>
      <c r="I50" s="124"/>
      <c r="J50" s="124"/>
      <c r="K50" s="124"/>
      <c r="L50" s="124"/>
    </row>
    <row r="51" spans="1:12" s="86" customFormat="1" x14ac:dyDescent="0.2">
      <c r="A51" s="473" t="s">
        <v>430</v>
      </c>
      <c r="B51" s="474">
        <v>0</v>
      </c>
      <c r="C51" s="513">
        <v>500000</v>
      </c>
      <c r="D51" s="513">
        <v>29282</v>
      </c>
      <c r="E51" s="475">
        <f t="shared" si="3"/>
        <v>5.8563999999999998</v>
      </c>
      <c r="F51" s="79">
        <v>101598</v>
      </c>
      <c r="G51" s="112" t="s">
        <v>32</v>
      </c>
      <c r="H51" s="174"/>
      <c r="I51" s="124"/>
      <c r="J51" s="124"/>
      <c r="K51" s="124"/>
      <c r="L51" s="124"/>
    </row>
    <row r="52" spans="1:12" s="86" customFormat="1" x14ac:dyDescent="0.2">
      <c r="A52" s="473" t="s">
        <v>431</v>
      </c>
      <c r="B52" s="474">
        <v>0</v>
      </c>
      <c r="C52" s="513">
        <v>500000</v>
      </c>
      <c r="D52" s="513">
        <v>18871.16</v>
      </c>
      <c r="E52" s="475">
        <f t="shared" si="3"/>
        <v>3.7742320000000005</v>
      </c>
      <c r="F52" s="79">
        <v>101599</v>
      </c>
      <c r="G52" s="112" t="s">
        <v>32</v>
      </c>
      <c r="H52" s="174"/>
      <c r="I52" s="124"/>
      <c r="J52" s="124"/>
      <c r="K52" s="124"/>
      <c r="L52" s="124"/>
    </row>
    <row r="53" spans="1:12" s="86" customFormat="1" x14ac:dyDescent="0.2">
      <c r="A53" s="473" t="s">
        <v>432</v>
      </c>
      <c r="B53" s="474">
        <v>0</v>
      </c>
      <c r="C53" s="513">
        <v>500000</v>
      </c>
      <c r="D53" s="513">
        <v>50820</v>
      </c>
      <c r="E53" s="475">
        <f t="shared" si="3"/>
        <v>10.164</v>
      </c>
      <c r="F53" s="79">
        <v>101600</v>
      </c>
      <c r="G53" s="112" t="s">
        <v>32</v>
      </c>
      <c r="H53" s="174"/>
      <c r="I53" s="124"/>
      <c r="J53" s="124"/>
      <c r="K53" s="124"/>
      <c r="L53" s="124"/>
    </row>
    <row r="54" spans="1:12" s="86" customFormat="1" x14ac:dyDescent="0.2">
      <c r="A54" s="473" t="s">
        <v>433</v>
      </c>
      <c r="B54" s="474">
        <v>0</v>
      </c>
      <c r="C54" s="513">
        <v>327000</v>
      </c>
      <c r="D54" s="513">
        <v>177627</v>
      </c>
      <c r="E54" s="475">
        <f t="shared" si="3"/>
        <v>54.320183486238527</v>
      </c>
      <c r="F54" s="79">
        <v>101614</v>
      </c>
      <c r="G54" s="112" t="s">
        <v>32</v>
      </c>
      <c r="H54" s="174"/>
      <c r="I54" s="124"/>
      <c r="J54" s="124"/>
      <c r="K54" s="124"/>
      <c r="L54" s="124"/>
    </row>
    <row r="55" spans="1:12" s="86" customFormat="1" ht="13.5" thickBot="1" x14ac:dyDescent="0.25">
      <c r="A55" s="219" t="s">
        <v>434</v>
      </c>
      <c r="B55" s="399">
        <v>0</v>
      </c>
      <c r="C55" s="220">
        <v>6400000</v>
      </c>
      <c r="D55" s="220">
        <v>5779012.21</v>
      </c>
      <c r="E55" s="221">
        <f t="shared" si="3"/>
        <v>90.297065781249998</v>
      </c>
      <c r="F55" s="79">
        <v>101626</v>
      </c>
      <c r="G55" s="112" t="s">
        <v>32</v>
      </c>
      <c r="H55" s="174"/>
      <c r="I55" s="124"/>
      <c r="J55" s="124"/>
      <c r="K55" s="124"/>
      <c r="L55" s="124"/>
    </row>
    <row r="56" spans="1:12" ht="16.5" thickTop="1" thickBot="1" x14ac:dyDescent="0.25">
      <c r="A56" s="171" t="s">
        <v>29</v>
      </c>
      <c r="B56" s="433"/>
      <c r="C56" s="9"/>
      <c r="D56" s="10"/>
      <c r="E56" s="172" t="s">
        <v>18</v>
      </c>
    </row>
    <row r="57" spans="1:12" ht="14.25" thickTop="1" thickBot="1" x14ac:dyDescent="0.25">
      <c r="A57" s="41" t="s">
        <v>5</v>
      </c>
      <c r="B57" s="42" t="s">
        <v>0</v>
      </c>
      <c r="C57" s="43" t="s">
        <v>1</v>
      </c>
      <c r="D57" s="44" t="s">
        <v>4</v>
      </c>
      <c r="E57" s="45" t="s">
        <v>6</v>
      </c>
    </row>
    <row r="58" spans="1:12" ht="15.75" thickTop="1" x14ac:dyDescent="0.2">
      <c r="A58" s="46" t="s">
        <v>7</v>
      </c>
      <c r="B58" s="47">
        <f>SUM(B59:B126)</f>
        <v>9860000</v>
      </c>
      <c r="C58" s="47">
        <f t="shared" ref="C58:D58" si="4">SUM(C59:C126)</f>
        <v>36271685.519999996</v>
      </c>
      <c r="D58" s="47">
        <f t="shared" si="4"/>
        <v>36271027.459999993</v>
      </c>
      <c r="E58" s="56">
        <f>D58/C58*100</f>
        <v>99.998185747393407</v>
      </c>
      <c r="F58" s="37"/>
    </row>
    <row r="59" spans="1:12" x14ac:dyDescent="0.2">
      <c r="A59" s="218" t="s">
        <v>249</v>
      </c>
      <c r="B59" s="214">
        <v>8860000</v>
      </c>
      <c r="C59" s="214">
        <v>658.36</v>
      </c>
      <c r="D59" s="214">
        <v>0</v>
      </c>
      <c r="E59" s="216">
        <f t="shared" ref="E59:E62" si="5">D59/C59*100</f>
        <v>0</v>
      </c>
      <c r="F59" s="37"/>
    </row>
    <row r="60" spans="1:12" x14ac:dyDescent="0.2">
      <c r="A60" s="218"/>
      <c r="B60" s="214">
        <v>0</v>
      </c>
      <c r="C60" s="214">
        <v>285900</v>
      </c>
      <c r="D60" s="214">
        <v>285900</v>
      </c>
      <c r="E60" s="216">
        <f t="shared" si="5"/>
        <v>100</v>
      </c>
      <c r="F60" s="91">
        <v>1001</v>
      </c>
      <c r="G60" s="117" t="s">
        <v>151</v>
      </c>
    </row>
    <row r="61" spans="1:12" x14ac:dyDescent="0.2">
      <c r="A61" s="218"/>
      <c r="B61" s="214">
        <v>0</v>
      </c>
      <c r="C61" s="214">
        <v>231360</v>
      </c>
      <c r="D61" s="214">
        <v>231360</v>
      </c>
      <c r="E61" s="216">
        <f t="shared" si="5"/>
        <v>100</v>
      </c>
      <c r="F61" s="91">
        <v>1038</v>
      </c>
      <c r="G61" s="117" t="s">
        <v>151</v>
      </c>
    </row>
    <row r="62" spans="1:12" x14ac:dyDescent="0.2">
      <c r="A62" s="218"/>
      <c r="B62" s="214">
        <v>0</v>
      </c>
      <c r="C62" s="214">
        <v>154727</v>
      </c>
      <c r="D62" s="214">
        <v>154727</v>
      </c>
      <c r="E62" s="216">
        <f t="shared" si="5"/>
        <v>100</v>
      </c>
      <c r="F62" s="91">
        <v>1040</v>
      </c>
      <c r="G62" s="117" t="s">
        <v>151</v>
      </c>
    </row>
    <row r="63" spans="1:12" x14ac:dyDescent="0.2">
      <c r="A63" s="218"/>
      <c r="B63" s="214">
        <v>0</v>
      </c>
      <c r="C63" s="214">
        <v>672565</v>
      </c>
      <c r="D63" s="214">
        <v>672565</v>
      </c>
      <c r="E63" s="216">
        <f t="shared" ref="E63:E126" si="6">D63/C63*100</f>
        <v>100</v>
      </c>
      <c r="F63" s="91">
        <v>1043</v>
      </c>
      <c r="G63" s="117" t="s">
        <v>151</v>
      </c>
    </row>
    <row r="64" spans="1:12" x14ac:dyDescent="0.2">
      <c r="A64" s="218"/>
      <c r="B64" s="214">
        <v>0</v>
      </c>
      <c r="C64" s="214">
        <v>680000</v>
      </c>
      <c r="D64" s="214">
        <v>680000</v>
      </c>
      <c r="E64" s="216">
        <f t="shared" si="6"/>
        <v>100</v>
      </c>
      <c r="F64" s="91">
        <v>1103</v>
      </c>
      <c r="G64" s="117" t="s">
        <v>151</v>
      </c>
    </row>
    <row r="65" spans="1:7" x14ac:dyDescent="0.2">
      <c r="A65" s="218"/>
      <c r="B65" s="214">
        <v>0</v>
      </c>
      <c r="C65" s="214">
        <v>266453</v>
      </c>
      <c r="D65" s="214">
        <v>266453</v>
      </c>
      <c r="E65" s="216">
        <f t="shared" si="6"/>
        <v>100</v>
      </c>
      <c r="F65" s="91">
        <v>1106</v>
      </c>
      <c r="G65" s="117" t="s">
        <v>151</v>
      </c>
    </row>
    <row r="66" spans="1:7" x14ac:dyDescent="0.2">
      <c r="A66" s="218"/>
      <c r="B66" s="214">
        <v>0</v>
      </c>
      <c r="C66" s="214">
        <v>100000</v>
      </c>
      <c r="D66" s="214">
        <v>100000</v>
      </c>
      <c r="E66" s="216">
        <f t="shared" si="6"/>
        <v>100</v>
      </c>
      <c r="F66" s="91">
        <v>1122</v>
      </c>
      <c r="G66" s="117" t="s">
        <v>151</v>
      </c>
    </row>
    <row r="67" spans="1:7" x14ac:dyDescent="0.2">
      <c r="A67" s="218"/>
      <c r="B67" s="214">
        <v>0</v>
      </c>
      <c r="C67" s="214">
        <v>542806</v>
      </c>
      <c r="D67" s="214">
        <v>542806</v>
      </c>
      <c r="E67" s="216">
        <f t="shared" si="6"/>
        <v>100</v>
      </c>
      <c r="F67" s="91">
        <v>1123</v>
      </c>
      <c r="G67" s="117" t="s">
        <v>151</v>
      </c>
    </row>
    <row r="68" spans="1:7" x14ac:dyDescent="0.2">
      <c r="A68" s="218"/>
      <c r="B68" s="214">
        <v>0</v>
      </c>
      <c r="C68" s="214">
        <v>109730</v>
      </c>
      <c r="D68" s="214">
        <v>109730</v>
      </c>
      <c r="E68" s="216">
        <f t="shared" si="6"/>
        <v>100</v>
      </c>
      <c r="F68" s="91">
        <v>1128</v>
      </c>
      <c r="G68" s="117" t="s">
        <v>151</v>
      </c>
    </row>
    <row r="69" spans="1:7" x14ac:dyDescent="0.2">
      <c r="A69" s="218"/>
      <c r="B69" s="214">
        <v>0</v>
      </c>
      <c r="C69" s="214">
        <v>1279146</v>
      </c>
      <c r="D69" s="214">
        <v>1279146</v>
      </c>
      <c r="E69" s="216">
        <f t="shared" si="6"/>
        <v>100</v>
      </c>
      <c r="F69" s="91">
        <v>1133</v>
      </c>
      <c r="G69" s="117" t="s">
        <v>151</v>
      </c>
    </row>
    <row r="70" spans="1:7" x14ac:dyDescent="0.2">
      <c r="A70" s="218"/>
      <c r="B70" s="214">
        <v>0</v>
      </c>
      <c r="C70" s="214">
        <v>1591925</v>
      </c>
      <c r="D70" s="214">
        <v>1591925</v>
      </c>
      <c r="E70" s="216">
        <f t="shared" si="6"/>
        <v>100</v>
      </c>
      <c r="F70" s="91">
        <v>1134</v>
      </c>
      <c r="G70" s="117" t="s">
        <v>151</v>
      </c>
    </row>
    <row r="71" spans="1:7" x14ac:dyDescent="0.2">
      <c r="A71" s="218"/>
      <c r="B71" s="214">
        <v>0</v>
      </c>
      <c r="C71" s="214">
        <v>378250</v>
      </c>
      <c r="D71" s="214">
        <v>378250</v>
      </c>
      <c r="E71" s="216">
        <f t="shared" si="6"/>
        <v>100</v>
      </c>
      <c r="F71" s="91">
        <v>1135</v>
      </c>
      <c r="G71" s="117" t="s">
        <v>151</v>
      </c>
    </row>
    <row r="72" spans="1:7" x14ac:dyDescent="0.2">
      <c r="A72" s="218"/>
      <c r="B72" s="214">
        <v>0</v>
      </c>
      <c r="C72" s="214">
        <v>549921.32999999996</v>
      </c>
      <c r="D72" s="214">
        <v>549921.32999999996</v>
      </c>
      <c r="E72" s="216">
        <f t="shared" si="6"/>
        <v>100</v>
      </c>
      <c r="F72" s="91">
        <v>1137</v>
      </c>
      <c r="G72" s="117" t="s">
        <v>151</v>
      </c>
    </row>
    <row r="73" spans="1:7" x14ac:dyDescent="0.2">
      <c r="A73" s="218"/>
      <c r="B73" s="214">
        <v>0</v>
      </c>
      <c r="C73" s="214">
        <v>396834.02</v>
      </c>
      <c r="D73" s="214">
        <v>396834.02</v>
      </c>
      <c r="E73" s="216">
        <f t="shared" si="6"/>
        <v>100</v>
      </c>
      <c r="F73" s="91">
        <v>1138</v>
      </c>
      <c r="G73" s="117" t="s">
        <v>151</v>
      </c>
    </row>
    <row r="74" spans="1:7" x14ac:dyDescent="0.2">
      <c r="A74" s="218"/>
      <c r="B74" s="214">
        <v>0</v>
      </c>
      <c r="C74" s="214">
        <v>226358</v>
      </c>
      <c r="D74" s="214">
        <v>226358</v>
      </c>
      <c r="E74" s="216">
        <f t="shared" si="6"/>
        <v>100</v>
      </c>
      <c r="F74" s="91">
        <v>1142</v>
      </c>
      <c r="G74" s="117" t="s">
        <v>151</v>
      </c>
    </row>
    <row r="75" spans="1:7" x14ac:dyDescent="0.2">
      <c r="A75" s="218"/>
      <c r="B75" s="214">
        <v>0</v>
      </c>
      <c r="C75" s="214">
        <v>1717575.42</v>
      </c>
      <c r="D75" s="214">
        <v>1717575.42</v>
      </c>
      <c r="E75" s="216">
        <f t="shared" si="6"/>
        <v>100</v>
      </c>
      <c r="F75" s="91">
        <v>1160</v>
      </c>
      <c r="G75" s="117" t="s">
        <v>151</v>
      </c>
    </row>
    <row r="76" spans="1:7" x14ac:dyDescent="0.2">
      <c r="A76" s="218"/>
      <c r="B76" s="214">
        <v>0</v>
      </c>
      <c r="C76" s="214">
        <v>80000</v>
      </c>
      <c r="D76" s="214">
        <v>80000</v>
      </c>
      <c r="E76" s="216">
        <f t="shared" si="6"/>
        <v>100</v>
      </c>
      <c r="F76" s="91">
        <v>1175</v>
      </c>
      <c r="G76" s="117" t="s">
        <v>151</v>
      </c>
    </row>
    <row r="77" spans="1:7" x14ac:dyDescent="0.2">
      <c r="A77" s="218"/>
      <c r="B77" s="214">
        <v>0</v>
      </c>
      <c r="C77" s="214">
        <v>150000</v>
      </c>
      <c r="D77" s="214">
        <v>150000</v>
      </c>
      <c r="E77" s="216">
        <f t="shared" si="6"/>
        <v>100</v>
      </c>
      <c r="F77" s="91">
        <v>1202</v>
      </c>
      <c r="G77" s="117" t="s">
        <v>151</v>
      </c>
    </row>
    <row r="78" spans="1:7" x14ac:dyDescent="0.2">
      <c r="A78" s="218"/>
      <c r="B78" s="214">
        <v>0</v>
      </c>
      <c r="C78" s="214">
        <v>106000</v>
      </c>
      <c r="D78" s="214">
        <v>106000</v>
      </c>
      <c r="E78" s="216">
        <f t="shared" si="6"/>
        <v>100</v>
      </c>
      <c r="F78" s="91">
        <v>1216</v>
      </c>
      <c r="G78" s="117" t="s">
        <v>151</v>
      </c>
    </row>
    <row r="79" spans="1:7" x14ac:dyDescent="0.2">
      <c r="A79" s="218"/>
      <c r="B79" s="214">
        <v>0</v>
      </c>
      <c r="C79" s="214">
        <v>172000</v>
      </c>
      <c r="D79" s="214">
        <v>172000</v>
      </c>
      <c r="E79" s="216">
        <f t="shared" si="6"/>
        <v>100</v>
      </c>
      <c r="F79" s="91">
        <v>1218</v>
      </c>
      <c r="G79" s="117" t="s">
        <v>151</v>
      </c>
    </row>
    <row r="80" spans="1:7" x14ac:dyDescent="0.2">
      <c r="A80" s="218"/>
      <c r="B80" s="214">
        <v>0</v>
      </c>
      <c r="C80" s="214">
        <v>248452</v>
      </c>
      <c r="D80" s="214">
        <v>248452</v>
      </c>
      <c r="E80" s="216">
        <f t="shared" si="6"/>
        <v>100</v>
      </c>
      <c r="F80" s="91">
        <v>1222</v>
      </c>
      <c r="G80" s="117" t="s">
        <v>151</v>
      </c>
    </row>
    <row r="81" spans="1:7" x14ac:dyDescent="0.2">
      <c r="A81" s="218"/>
      <c r="B81" s="214">
        <v>0</v>
      </c>
      <c r="C81" s="214">
        <v>526620</v>
      </c>
      <c r="D81" s="214">
        <v>526620</v>
      </c>
      <c r="E81" s="216">
        <f t="shared" si="6"/>
        <v>100</v>
      </c>
      <c r="F81" s="91">
        <v>1223</v>
      </c>
      <c r="G81" s="117" t="s">
        <v>151</v>
      </c>
    </row>
    <row r="82" spans="1:7" x14ac:dyDescent="0.2">
      <c r="A82" s="218"/>
      <c r="B82" s="214">
        <v>1000000</v>
      </c>
      <c r="C82" s="214">
        <v>0</v>
      </c>
      <c r="D82" s="214">
        <v>0</v>
      </c>
      <c r="E82" s="216">
        <v>0</v>
      </c>
      <c r="F82" s="91">
        <v>1225</v>
      </c>
      <c r="G82" s="117" t="s">
        <v>151</v>
      </c>
    </row>
    <row r="83" spans="1:7" x14ac:dyDescent="0.2">
      <c r="A83" s="218"/>
      <c r="B83" s="214">
        <v>0</v>
      </c>
      <c r="C83" s="214">
        <v>585120.69999999995</v>
      </c>
      <c r="D83" s="214">
        <v>585120.69999999995</v>
      </c>
      <c r="E83" s="216">
        <f t="shared" si="6"/>
        <v>100</v>
      </c>
      <c r="F83" s="91">
        <v>1226</v>
      </c>
      <c r="G83" s="117" t="s">
        <v>151</v>
      </c>
    </row>
    <row r="84" spans="1:7" x14ac:dyDescent="0.2">
      <c r="A84" s="218"/>
      <c r="B84" s="214">
        <v>0</v>
      </c>
      <c r="C84" s="214">
        <v>188727</v>
      </c>
      <c r="D84" s="214">
        <v>188727</v>
      </c>
      <c r="E84" s="216">
        <f t="shared" si="6"/>
        <v>100</v>
      </c>
      <c r="F84" s="91">
        <v>1350</v>
      </c>
      <c r="G84" s="117" t="s">
        <v>151</v>
      </c>
    </row>
    <row r="85" spans="1:7" x14ac:dyDescent="0.2">
      <c r="A85" s="218"/>
      <c r="B85" s="214">
        <v>0</v>
      </c>
      <c r="C85" s="214">
        <v>349959</v>
      </c>
      <c r="D85" s="214">
        <v>349959</v>
      </c>
      <c r="E85" s="216">
        <f t="shared" si="6"/>
        <v>100</v>
      </c>
      <c r="F85" s="91">
        <v>1353</v>
      </c>
      <c r="G85" s="117" t="s">
        <v>151</v>
      </c>
    </row>
    <row r="86" spans="1:7" x14ac:dyDescent="0.2">
      <c r="A86" s="218"/>
      <c r="B86" s="214">
        <v>0</v>
      </c>
      <c r="C86" s="214">
        <v>600000</v>
      </c>
      <c r="D86" s="214">
        <v>600000</v>
      </c>
      <c r="E86" s="216">
        <f t="shared" si="6"/>
        <v>100</v>
      </c>
      <c r="F86" s="91">
        <v>1400</v>
      </c>
      <c r="G86" s="117" t="s">
        <v>151</v>
      </c>
    </row>
    <row r="87" spans="1:7" x14ac:dyDescent="0.2">
      <c r="A87" s="218"/>
      <c r="B87" s="214">
        <v>0</v>
      </c>
      <c r="C87" s="214">
        <v>349927.51</v>
      </c>
      <c r="D87" s="214">
        <v>349927.51</v>
      </c>
      <c r="E87" s="216">
        <f t="shared" si="6"/>
        <v>100</v>
      </c>
      <c r="F87" s="91">
        <v>1404</v>
      </c>
      <c r="G87" s="117" t="s">
        <v>151</v>
      </c>
    </row>
    <row r="88" spans="1:7" x14ac:dyDescent="0.2">
      <c r="A88" s="218"/>
      <c r="B88" s="214">
        <v>0</v>
      </c>
      <c r="C88" s="214">
        <v>53232</v>
      </c>
      <c r="D88" s="214">
        <v>53232</v>
      </c>
      <c r="E88" s="216">
        <f t="shared" si="6"/>
        <v>100</v>
      </c>
      <c r="F88" s="91">
        <v>1450</v>
      </c>
      <c r="G88" s="117" t="s">
        <v>151</v>
      </c>
    </row>
    <row r="89" spans="1:7" x14ac:dyDescent="0.2">
      <c r="A89" s="455"/>
      <c r="B89" s="214">
        <v>0</v>
      </c>
      <c r="C89" s="214">
        <v>348116</v>
      </c>
      <c r="D89" s="214">
        <v>348116</v>
      </c>
      <c r="E89" s="216">
        <f t="shared" si="6"/>
        <v>100</v>
      </c>
      <c r="F89" s="91">
        <v>1001</v>
      </c>
      <c r="G89" s="117" t="s">
        <v>152</v>
      </c>
    </row>
    <row r="90" spans="1:7" x14ac:dyDescent="0.2">
      <c r="A90" s="455"/>
      <c r="B90" s="214">
        <v>0</v>
      </c>
      <c r="C90" s="214">
        <v>1061031.3500000001</v>
      </c>
      <c r="D90" s="214">
        <v>1061031.3500000001</v>
      </c>
      <c r="E90" s="216">
        <f t="shared" si="6"/>
        <v>100</v>
      </c>
      <c r="F90" s="91">
        <v>1015</v>
      </c>
      <c r="G90" s="117" t="s">
        <v>152</v>
      </c>
    </row>
    <row r="91" spans="1:7" x14ac:dyDescent="0.2">
      <c r="A91" s="455"/>
      <c r="B91" s="214">
        <v>0</v>
      </c>
      <c r="C91" s="214">
        <v>726000</v>
      </c>
      <c r="D91" s="214">
        <v>726000</v>
      </c>
      <c r="E91" s="216">
        <f t="shared" si="6"/>
        <v>100</v>
      </c>
      <c r="F91" s="91">
        <v>1017</v>
      </c>
      <c r="G91" s="117" t="s">
        <v>152</v>
      </c>
    </row>
    <row r="92" spans="1:7" x14ac:dyDescent="0.2">
      <c r="A92" s="455"/>
      <c r="B92" s="214">
        <v>0</v>
      </c>
      <c r="C92" s="214">
        <v>99691.6</v>
      </c>
      <c r="D92" s="214">
        <v>99691.9</v>
      </c>
      <c r="E92" s="216">
        <f t="shared" si="6"/>
        <v>100.00030092806213</v>
      </c>
      <c r="F92" s="91">
        <v>1032</v>
      </c>
      <c r="G92" s="117" t="s">
        <v>152</v>
      </c>
    </row>
    <row r="93" spans="1:7" x14ac:dyDescent="0.2">
      <c r="A93" s="455"/>
      <c r="B93" s="214">
        <v>0</v>
      </c>
      <c r="C93" s="214">
        <v>122277</v>
      </c>
      <c r="D93" s="214">
        <v>122277</v>
      </c>
      <c r="E93" s="216">
        <f t="shared" si="6"/>
        <v>100</v>
      </c>
      <c r="F93" s="91">
        <v>1034</v>
      </c>
      <c r="G93" s="117" t="s">
        <v>152</v>
      </c>
    </row>
    <row r="94" spans="1:7" x14ac:dyDescent="0.2">
      <c r="A94" s="455"/>
      <c r="B94" s="214">
        <v>0</v>
      </c>
      <c r="C94" s="214">
        <v>1593664</v>
      </c>
      <c r="D94" s="214">
        <v>1593664</v>
      </c>
      <c r="E94" s="216">
        <f t="shared" si="6"/>
        <v>100</v>
      </c>
      <c r="F94" s="91">
        <v>1038</v>
      </c>
      <c r="G94" s="117" t="s">
        <v>152</v>
      </c>
    </row>
    <row r="95" spans="1:7" x14ac:dyDescent="0.2">
      <c r="A95" s="218"/>
      <c r="B95" s="214">
        <v>0</v>
      </c>
      <c r="C95" s="214">
        <v>230990</v>
      </c>
      <c r="D95" s="214">
        <v>230990</v>
      </c>
      <c r="E95" s="216">
        <f t="shared" si="6"/>
        <v>100</v>
      </c>
      <c r="F95" s="91">
        <v>1102</v>
      </c>
      <c r="G95" s="117" t="s">
        <v>152</v>
      </c>
    </row>
    <row r="96" spans="1:7" x14ac:dyDescent="0.2">
      <c r="A96" s="218"/>
      <c r="B96" s="214">
        <v>0</v>
      </c>
      <c r="C96" s="214">
        <v>2078811.4</v>
      </c>
      <c r="D96" s="214">
        <v>2078811.4</v>
      </c>
      <c r="E96" s="216">
        <f t="shared" si="6"/>
        <v>100</v>
      </c>
      <c r="F96" s="91">
        <v>1103</v>
      </c>
      <c r="G96" s="117" t="s">
        <v>152</v>
      </c>
    </row>
    <row r="97" spans="1:7" x14ac:dyDescent="0.2">
      <c r="A97" s="218"/>
      <c r="B97" s="214">
        <v>0</v>
      </c>
      <c r="C97" s="214">
        <v>242911.13</v>
      </c>
      <c r="D97" s="214">
        <v>242911.13</v>
      </c>
      <c r="E97" s="216">
        <f t="shared" si="6"/>
        <v>100</v>
      </c>
      <c r="F97" s="91">
        <v>1109</v>
      </c>
      <c r="G97" s="117" t="s">
        <v>152</v>
      </c>
    </row>
    <row r="98" spans="1:7" x14ac:dyDescent="0.2">
      <c r="A98" s="218"/>
      <c r="B98" s="214">
        <v>0</v>
      </c>
      <c r="C98" s="214">
        <v>670262.39</v>
      </c>
      <c r="D98" s="214">
        <v>670262.39</v>
      </c>
      <c r="E98" s="216">
        <f t="shared" si="6"/>
        <v>100</v>
      </c>
      <c r="F98" s="91">
        <v>1112</v>
      </c>
      <c r="G98" s="117" t="s">
        <v>152</v>
      </c>
    </row>
    <row r="99" spans="1:7" x14ac:dyDescent="0.2">
      <c r="A99" s="218"/>
      <c r="B99" s="214">
        <v>0</v>
      </c>
      <c r="C99" s="214">
        <v>199176</v>
      </c>
      <c r="D99" s="214">
        <v>199176</v>
      </c>
      <c r="E99" s="216">
        <f t="shared" si="6"/>
        <v>100</v>
      </c>
      <c r="F99" s="91">
        <v>1113</v>
      </c>
      <c r="G99" s="117" t="s">
        <v>152</v>
      </c>
    </row>
    <row r="100" spans="1:7" x14ac:dyDescent="0.2">
      <c r="A100" s="218"/>
      <c r="B100" s="214">
        <v>0</v>
      </c>
      <c r="C100" s="214">
        <v>396819.5</v>
      </c>
      <c r="D100" s="214">
        <v>396819.5</v>
      </c>
      <c r="E100" s="216">
        <f t="shared" si="6"/>
        <v>100</v>
      </c>
      <c r="F100" s="91">
        <v>1121</v>
      </c>
      <c r="G100" s="117" t="s">
        <v>152</v>
      </c>
    </row>
    <row r="101" spans="1:7" x14ac:dyDescent="0.2">
      <c r="A101" s="218"/>
      <c r="B101" s="214">
        <v>0</v>
      </c>
      <c r="C101" s="214">
        <v>107999.06</v>
      </c>
      <c r="D101" s="214">
        <v>107999.06</v>
      </c>
      <c r="E101" s="216">
        <f t="shared" si="6"/>
        <v>100</v>
      </c>
      <c r="F101" s="91">
        <v>1122</v>
      </c>
      <c r="G101" s="117" t="s">
        <v>152</v>
      </c>
    </row>
    <row r="102" spans="1:7" x14ac:dyDescent="0.2">
      <c r="A102" s="218"/>
      <c r="B102" s="214">
        <v>0</v>
      </c>
      <c r="C102" s="214">
        <v>339735</v>
      </c>
      <c r="D102" s="214">
        <v>339735</v>
      </c>
      <c r="E102" s="216">
        <f t="shared" si="6"/>
        <v>100</v>
      </c>
      <c r="F102" s="91">
        <v>1123</v>
      </c>
      <c r="G102" s="117" t="s">
        <v>152</v>
      </c>
    </row>
    <row r="103" spans="1:7" x14ac:dyDescent="0.2">
      <c r="A103" s="218"/>
      <c r="B103" s="214">
        <v>0</v>
      </c>
      <c r="C103" s="214">
        <v>74198.89</v>
      </c>
      <c r="D103" s="214">
        <v>74198.89</v>
      </c>
      <c r="E103" s="216">
        <f t="shared" si="6"/>
        <v>100</v>
      </c>
      <c r="F103" s="91">
        <v>1127</v>
      </c>
      <c r="G103" s="117" t="s">
        <v>152</v>
      </c>
    </row>
    <row r="104" spans="1:7" x14ac:dyDescent="0.2">
      <c r="A104" s="218"/>
      <c r="B104" s="214">
        <v>0</v>
      </c>
      <c r="C104" s="214">
        <v>431389.53</v>
      </c>
      <c r="D104" s="214">
        <v>431389.53</v>
      </c>
      <c r="E104" s="216">
        <f t="shared" si="6"/>
        <v>100</v>
      </c>
      <c r="F104" s="91">
        <v>1134</v>
      </c>
      <c r="G104" s="117" t="s">
        <v>152</v>
      </c>
    </row>
    <row r="105" spans="1:7" x14ac:dyDescent="0.2">
      <c r="A105" s="218"/>
      <c r="B105" s="214">
        <v>0</v>
      </c>
      <c r="C105" s="214">
        <v>400000</v>
      </c>
      <c r="D105" s="214">
        <v>400000</v>
      </c>
      <c r="E105" s="216">
        <f t="shared" si="6"/>
        <v>100</v>
      </c>
      <c r="F105" s="91">
        <v>1135</v>
      </c>
      <c r="G105" s="117" t="s">
        <v>152</v>
      </c>
    </row>
    <row r="106" spans="1:7" x14ac:dyDescent="0.2">
      <c r="A106" s="218"/>
      <c r="B106" s="214">
        <v>0</v>
      </c>
      <c r="C106" s="214">
        <v>263590</v>
      </c>
      <c r="D106" s="214">
        <v>263590</v>
      </c>
      <c r="E106" s="216">
        <f t="shared" si="6"/>
        <v>100</v>
      </c>
      <c r="F106" s="91">
        <v>1138</v>
      </c>
      <c r="G106" s="117" t="s">
        <v>152</v>
      </c>
    </row>
    <row r="107" spans="1:7" x14ac:dyDescent="0.2">
      <c r="A107" s="218"/>
      <c r="B107" s="214">
        <v>0</v>
      </c>
      <c r="C107" s="214">
        <v>450000</v>
      </c>
      <c r="D107" s="214">
        <v>450000</v>
      </c>
      <c r="E107" s="216">
        <f t="shared" si="6"/>
        <v>100</v>
      </c>
      <c r="F107" s="91">
        <v>1140</v>
      </c>
      <c r="G107" s="117" t="s">
        <v>152</v>
      </c>
    </row>
    <row r="108" spans="1:7" x14ac:dyDescent="0.2">
      <c r="A108" s="218"/>
      <c r="B108" s="214">
        <v>0</v>
      </c>
      <c r="C108" s="214">
        <v>453750</v>
      </c>
      <c r="D108" s="214">
        <v>453750</v>
      </c>
      <c r="E108" s="216">
        <f t="shared" si="6"/>
        <v>100</v>
      </c>
      <c r="F108" s="91">
        <v>1152</v>
      </c>
      <c r="G108" s="117" t="s">
        <v>152</v>
      </c>
    </row>
    <row r="109" spans="1:7" x14ac:dyDescent="0.2">
      <c r="A109" s="218"/>
      <c r="B109" s="214">
        <v>0</v>
      </c>
      <c r="C109" s="214">
        <v>1007968.72</v>
      </c>
      <c r="D109" s="214">
        <v>1007968.72</v>
      </c>
      <c r="E109" s="216">
        <f t="shared" si="6"/>
        <v>100</v>
      </c>
      <c r="F109" s="91">
        <v>1154</v>
      </c>
      <c r="G109" s="117" t="s">
        <v>152</v>
      </c>
    </row>
    <row r="110" spans="1:7" x14ac:dyDescent="0.2">
      <c r="A110" s="218"/>
      <c r="B110" s="214">
        <v>0</v>
      </c>
      <c r="C110" s="214">
        <v>379976.3</v>
      </c>
      <c r="D110" s="214">
        <v>379976.3</v>
      </c>
      <c r="E110" s="216">
        <f t="shared" si="6"/>
        <v>100</v>
      </c>
      <c r="F110" s="91">
        <v>1160</v>
      </c>
      <c r="G110" s="117" t="s">
        <v>152</v>
      </c>
    </row>
    <row r="111" spans="1:7" x14ac:dyDescent="0.2">
      <c r="A111" s="218"/>
      <c r="B111" s="214">
        <v>0</v>
      </c>
      <c r="C111" s="214">
        <v>50000</v>
      </c>
      <c r="D111" s="214">
        <v>50000</v>
      </c>
      <c r="E111" s="216">
        <f t="shared" si="6"/>
        <v>100</v>
      </c>
      <c r="F111" s="91">
        <v>1171</v>
      </c>
      <c r="G111" s="117" t="s">
        <v>152</v>
      </c>
    </row>
    <row r="112" spans="1:7" x14ac:dyDescent="0.2">
      <c r="A112" s="218"/>
      <c r="B112" s="214">
        <v>0</v>
      </c>
      <c r="C112" s="214">
        <v>1123801.3799999999</v>
      </c>
      <c r="D112" s="214">
        <v>1123801.3799999999</v>
      </c>
      <c r="E112" s="216">
        <f t="shared" si="6"/>
        <v>100</v>
      </c>
      <c r="F112" s="91">
        <v>1173</v>
      </c>
      <c r="G112" s="117" t="s">
        <v>152</v>
      </c>
    </row>
    <row r="113" spans="1:8" x14ac:dyDescent="0.2">
      <c r="A113" s="218"/>
      <c r="B113" s="214">
        <v>0</v>
      </c>
      <c r="C113" s="214">
        <v>197018.25</v>
      </c>
      <c r="D113" s="214">
        <v>197018.25</v>
      </c>
      <c r="E113" s="216">
        <f t="shared" si="6"/>
        <v>100</v>
      </c>
      <c r="F113" s="91">
        <v>1175</v>
      </c>
      <c r="G113" s="117" t="s">
        <v>152</v>
      </c>
    </row>
    <row r="114" spans="1:8" x14ac:dyDescent="0.2">
      <c r="A114" s="218"/>
      <c r="B114" s="214">
        <v>0</v>
      </c>
      <c r="C114" s="214">
        <v>423500</v>
      </c>
      <c r="D114" s="214">
        <v>423500</v>
      </c>
      <c r="E114" s="216">
        <f t="shared" si="6"/>
        <v>100</v>
      </c>
      <c r="F114" s="91">
        <v>1200</v>
      </c>
      <c r="G114" s="117" t="s">
        <v>152</v>
      </c>
    </row>
    <row r="115" spans="1:8" x14ac:dyDescent="0.2">
      <c r="A115" s="218"/>
      <c r="B115" s="214">
        <v>0</v>
      </c>
      <c r="C115" s="214">
        <v>164269.6</v>
      </c>
      <c r="D115" s="214">
        <v>164269.6</v>
      </c>
      <c r="E115" s="216">
        <f t="shared" si="6"/>
        <v>100</v>
      </c>
      <c r="F115" s="91">
        <v>1202</v>
      </c>
      <c r="G115" s="117" t="s">
        <v>152</v>
      </c>
    </row>
    <row r="116" spans="1:8" x14ac:dyDescent="0.2">
      <c r="A116" s="218"/>
      <c r="B116" s="214">
        <v>0</v>
      </c>
      <c r="C116" s="214">
        <v>665547.49</v>
      </c>
      <c r="D116" s="214">
        <v>665547.49</v>
      </c>
      <c r="E116" s="216">
        <f t="shared" si="6"/>
        <v>100</v>
      </c>
      <c r="F116" s="91">
        <v>1204</v>
      </c>
      <c r="G116" s="117" t="s">
        <v>152</v>
      </c>
    </row>
    <row r="117" spans="1:8" x14ac:dyDescent="0.2">
      <c r="A117" s="218"/>
      <c r="B117" s="214">
        <v>0</v>
      </c>
      <c r="C117" s="214">
        <v>594362.09</v>
      </c>
      <c r="D117" s="214">
        <v>594362.09</v>
      </c>
      <c r="E117" s="216">
        <f t="shared" si="6"/>
        <v>100</v>
      </c>
      <c r="F117" s="91">
        <v>1205</v>
      </c>
      <c r="G117" s="117" t="s">
        <v>152</v>
      </c>
    </row>
    <row r="118" spans="1:8" x14ac:dyDescent="0.2">
      <c r="A118" s="218"/>
      <c r="B118" s="214">
        <v>0</v>
      </c>
      <c r="C118" s="214">
        <v>460161</v>
      </c>
      <c r="D118" s="214">
        <v>460161</v>
      </c>
      <c r="E118" s="216">
        <f t="shared" si="6"/>
        <v>100</v>
      </c>
      <c r="F118" s="91">
        <v>1206</v>
      </c>
      <c r="G118" s="117" t="s">
        <v>152</v>
      </c>
    </row>
    <row r="119" spans="1:8" x14ac:dyDescent="0.2">
      <c r="A119" s="473"/>
      <c r="B119" s="474">
        <v>0</v>
      </c>
      <c r="C119" s="474">
        <v>377000</v>
      </c>
      <c r="D119" s="474">
        <v>377000</v>
      </c>
      <c r="E119" s="475">
        <f t="shared" si="6"/>
        <v>100</v>
      </c>
      <c r="F119" s="91">
        <v>1216</v>
      </c>
      <c r="G119" s="117" t="s">
        <v>152</v>
      </c>
    </row>
    <row r="120" spans="1:8" x14ac:dyDescent="0.2">
      <c r="A120" s="218"/>
      <c r="B120" s="214">
        <v>0</v>
      </c>
      <c r="C120" s="214">
        <v>327584</v>
      </c>
      <c r="D120" s="214">
        <v>327584</v>
      </c>
      <c r="E120" s="216">
        <f t="shared" si="6"/>
        <v>100</v>
      </c>
      <c r="F120" s="91">
        <v>1222</v>
      </c>
      <c r="G120" s="117" t="s">
        <v>152</v>
      </c>
    </row>
    <row r="121" spans="1:8" x14ac:dyDescent="0.2">
      <c r="A121" s="218"/>
      <c r="B121" s="214">
        <v>0</v>
      </c>
      <c r="C121" s="214">
        <v>2023000</v>
      </c>
      <c r="D121" s="214">
        <v>2023000</v>
      </c>
      <c r="E121" s="216">
        <f t="shared" si="6"/>
        <v>100</v>
      </c>
      <c r="F121" s="91">
        <v>1223</v>
      </c>
      <c r="G121" s="117" t="s">
        <v>152</v>
      </c>
    </row>
    <row r="122" spans="1:8" x14ac:dyDescent="0.2">
      <c r="A122" s="218"/>
      <c r="B122" s="214">
        <v>0</v>
      </c>
      <c r="C122" s="214">
        <v>1599783</v>
      </c>
      <c r="D122" s="214">
        <v>1599783</v>
      </c>
      <c r="E122" s="216">
        <f t="shared" si="6"/>
        <v>100</v>
      </c>
      <c r="F122" s="91">
        <v>1225</v>
      </c>
      <c r="G122" s="117" t="s">
        <v>152</v>
      </c>
    </row>
    <row r="123" spans="1:8" x14ac:dyDescent="0.2">
      <c r="A123" s="218"/>
      <c r="B123" s="214">
        <v>0</v>
      </c>
      <c r="C123" s="214">
        <v>1376677.5</v>
      </c>
      <c r="D123" s="214">
        <v>1376677.5</v>
      </c>
      <c r="E123" s="216">
        <f t="shared" si="6"/>
        <v>100</v>
      </c>
      <c r="F123" s="91">
        <v>1302</v>
      </c>
      <c r="G123" s="117" t="s">
        <v>152</v>
      </c>
    </row>
    <row r="124" spans="1:8" x14ac:dyDescent="0.2">
      <c r="A124" s="218"/>
      <c r="B124" s="214">
        <v>0</v>
      </c>
      <c r="C124" s="214">
        <v>850000</v>
      </c>
      <c r="D124" s="214">
        <v>850000</v>
      </c>
      <c r="E124" s="216">
        <f t="shared" si="6"/>
        <v>100</v>
      </c>
      <c r="F124" s="91">
        <v>1313</v>
      </c>
      <c r="G124" s="117" t="s">
        <v>152</v>
      </c>
    </row>
    <row r="125" spans="1:8" x14ac:dyDescent="0.2">
      <c r="A125" s="218"/>
      <c r="B125" s="214">
        <v>0</v>
      </c>
      <c r="C125" s="214">
        <v>1616376</v>
      </c>
      <c r="D125" s="214">
        <v>1616376</v>
      </c>
      <c r="E125" s="216">
        <f t="shared" si="6"/>
        <v>100</v>
      </c>
      <c r="F125" s="91">
        <v>1350</v>
      </c>
      <c r="G125" s="117" t="s">
        <v>152</v>
      </c>
    </row>
    <row r="126" spans="1:8" ht="13.5" thickBot="1" x14ac:dyDescent="0.25">
      <c r="A126" s="219"/>
      <c r="B126" s="399">
        <v>0</v>
      </c>
      <c r="C126" s="399">
        <v>150000</v>
      </c>
      <c r="D126" s="399">
        <v>150000</v>
      </c>
      <c r="E126" s="221">
        <f t="shared" si="6"/>
        <v>100</v>
      </c>
      <c r="F126" s="91">
        <v>1407</v>
      </c>
      <c r="G126" s="117" t="s">
        <v>152</v>
      </c>
    </row>
    <row r="127" spans="1:8" s="58" customFormat="1" ht="13.5" thickTop="1" x14ac:dyDescent="0.2">
      <c r="A127" s="149"/>
      <c r="B127" s="110"/>
      <c r="C127" s="110"/>
      <c r="D127" s="110"/>
      <c r="E127" s="50"/>
      <c r="F127" s="81"/>
      <c r="G127" s="117"/>
      <c r="H127" s="57"/>
    </row>
    <row r="128" spans="1:8" ht="15" customHeight="1" thickBot="1" x14ac:dyDescent="0.3">
      <c r="A128" s="39" t="s">
        <v>93</v>
      </c>
      <c r="B128" s="32"/>
      <c r="E128" s="40" t="s">
        <v>18</v>
      </c>
      <c r="F128" s="5"/>
      <c r="G128" s="94"/>
    </row>
    <row r="129" spans="1:12" ht="14.25" thickTop="1" thickBot="1" x14ac:dyDescent="0.25">
      <c r="A129" s="41" t="s">
        <v>5</v>
      </c>
      <c r="B129" s="42" t="s">
        <v>0</v>
      </c>
      <c r="C129" s="43" t="s">
        <v>1</v>
      </c>
      <c r="D129" s="44" t="s">
        <v>4</v>
      </c>
      <c r="E129" s="45" t="s">
        <v>6</v>
      </c>
      <c r="F129" s="5"/>
      <c r="G129" s="94"/>
    </row>
    <row r="130" spans="1:12" s="78" customFormat="1" ht="15.75" thickTop="1" x14ac:dyDescent="0.2">
      <c r="A130" s="46" t="s">
        <v>7</v>
      </c>
      <c r="B130" s="47">
        <f>SUM(B131:B131)</f>
        <v>0</v>
      </c>
      <c r="C130" s="47">
        <f>SUM(C131:C131)</f>
        <v>11000</v>
      </c>
      <c r="D130" s="47">
        <f>SUM(D131:D131)</f>
        <v>10084</v>
      </c>
      <c r="E130" s="76">
        <f>D130/C130*100</f>
        <v>91.672727272727272</v>
      </c>
      <c r="F130" s="77" t="s">
        <v>2</v>
      </c>
      <c r="G130" s="139" t="s">
        <v>34</v>
      </c>
    </row>
    <row r="131" spans="1:12" s="78" customFormat="1" ht="13.5" thickBot="1" x14ac:dyDescent="0.25">
      <c r="A131" s="167" t="s">
        <v>149</v>
      </c>
      <c r="B131" s="129">
        <v>0</v>
      </c>
      <c r="C131" s="131">
        <v>11000</v>
      </c>
      <c r="D131" s="129">
        <v>10084</v>
      </c>
      <c r="E131" s="130">
        <f t="shared" ref="E131" si="7">D131/C131*100</f>
        <v>91.672727272727272</v>
      </c>
      <c r="F131" s="116"/>
      <c r="G131" s="95"/>
      <c r="I131" s="123" t="s">
        <v>34</v>
      </c>
      <c r="J131" s="124">
        <f>B130</f>
        <v>0</v>
      </c>
      <c r="K131" s="124">
        <f>C130</f>
        <v>11000</v>
      </c>
      <c r="L131" s="124">
        <f>D130</f>
        <v>10084</v>
      </c>
    </row>
    <row r="132" spans="1:12" s="78" customFormat="1" ht="13.5" thickTop="1" x14ac:dyDescent="0.2">
      <c r="A132" s="109"/>
      <c r="B132" s="110"/>
      <c r="C132" s="49"/>
      <c r="D132" s="110"/>
      <c r="E132" s="50"/>
      <c r="F132" s="111"/>
      <c r="G132" s="95"/>
      <c r="I132" s="112" t="s">
        <v>32</v>
      </c>
      <c r="J132" s="121">
        <f>SUM(B8:B55)</f>
        <v>118197000</v>
      </c>
      <c r="K132" s="121">
        <f t="shared" ref="K132:L132" si="8">SUM(C8:C55)</f>
        <v>204427032.60999998</v>
      </c>
      <c r="L132" s="121">
        <f t="shared" si="8"/>
        <v>131971276.64</v>
      </c>
    </row>
    <row r="133" spans="1:12" s="78" customFormat="1" x14ac:dyDescent="0.2">
      <c r="A133" s="109"/>
      <c r="B133" s="110"/>
      <c r="C133" s="49"/>
      <c r="D133" s="110"/>
      <c r="E133" s="50"/>
      <c r="F133" s="111"/>
      <c r="G133" s="95"/>
      <c r="H133" s="117"/>
      <c r="I133" s="178" t="s">
        <v>33</v>
      </c>
      <c r="J133" s="179">
        <f>SUM(B59:B126)</f>
        <v>9860000</v>
      </c>
      <c r="K133" s="179">
        <f t="shared" ref="K133:L133" si="9">SUM(C59:C126)</f>
        <v>36271685.519999996</v>
      </c>
      <c r="L133" s="179">
        <f t="shared" si="9"/>
        <v>36271027.459999993</v>
      </c>
    </row>
    <row r="134" spans="1:12" s="6" customFormat="1" ht="18.75" thickBot="1" x14ac:dyDescent="0.3">
      <c r="A134" s="60" t="s">
        <v>20</v>
      </c>
      <c r="B134" s="434">
        <f>SUM(B58,B7,B130)</f>
        <v>128057000</v>
      </c>
      <c r="C134" s="434">
        <f>SUM(C58,C7,C130)</f>
        <v>240709718.13</v>
      </c>
      <c r="D134" s="434">
        <f>SUM(D58,D7,D130)</f>
        <v>168252388.09999999</v>
      </c>
      <c r="E134" s="62">
        <f>D134/C134*100</f>
        <v>69.898460854468709</v>
      </c>
      <c r="F134" s="103"/>
      <c r="G134" s="63"/>
      <c r="H134" s="63"/>
      <c r="I134" s="78"/>
      <c r="J134" s="120">
        <f>J133+J132+J131</f>
        <v>128057000</v>
      </c>
      <c r="K134" s="120">
        <f>K133+K132+K131</f>
        <v>240709718.13</v>
      </c>
      <c r="L134" s="120">
        <f>L133+L132+L131</f>
        <v>168252388.09999999</v>
      </c>
    </row>
    <row r="135" spans="1:12" ht="13.5" thickTop="1" x14ac:dyDescent="0.2">
      <c r="A135" s="59"/>
      <c r="B135" s="110"/>
      <c r="C135" s="53"/>
      <c r="D135" s="48"/>
      <c r="E135" s="50"/>
      <c r="F135" s="37"/>
    </row>
    <row r="136" spans="1:12" x14ac:dyDescent="0.2">
      <c r="A136" s="59"/>
      <c r="B136" s="110"/>
      <c r="C136" s="53"/>
      <c r="D136" s="48"/>
      <c r="E136" s="50"/>
      <c r="F136" s="37"/>
    </row>
    <row r="137" spans="1:12" ht="18" x14ac:dyDescent="0.25">
      <c r="A137" s="36" t="s">
        <v>28</v>
      </c>
      <c r="B137" s="32"/>
    </row>
    <row r="138" spans="1:12" ht="15" customHeight="1" thickBot="1" x14ac:dyDescent="0.3">
      <c r="A138" s="39" t="s">
        <v>67</v>
      </c>
      <c r="B138" s="32"/>
      <c r="E138" s="40" t="s">
        <v>18</v>
      </c>
    </row>
    <row r="139" spans="1:12" ht="14.25" thickTop="1" thickBot="1" x14ac:dyDescent="0.25">
      <c r="A139" s="41" t="s">
        <v>5</v>
      </c>
      <c r="B139" s="42" t="s">
        <v>0</v>
      </c>
      <c r="C139" s="43" t="s">
        <v>1</v>
      </c>
      <c r="D139" s="44" t="s">
        <v>4</v>
      </c>
      <c r="E139" s="45" t="s">
        <v>6</v>
      </c>
    </row>
    <row r="140" spans="1:12" ht="15.75" thickTop="1" x14ac:dyDescent="0.25">
      <c r="A140" s="46" t="s">
        <v>9</v>
      </c>
      <c r="B140" s="47">
        <f>SUM(B141:B184)</f>
        <v>73959000</v>
      </c>
      <c r="C140" s="47">
        <f>SUM(C141:C184)</f>
        <v>85458937.749999985</v>
      </c>
      <c r="D140" s="47">
        <f>SUM(D141:D184)</f>
        <v>54813516.879999988</v>
      </c>
      <c r="E140" s="633">
        <f>D140/C140*100</f>
        <v>64.140180445900754</v>
      </c>
      <c r="F140" s="82"/>
      <c r="G140" s="112"/>
    </row>
    <row r="141" spans="1:12" x14ac:dyDescent="0.2">
      <c r="A141" s="223" t="s">
        <v>372</v>
      </c>
      <c r="B141" s="222">
        <v>15000000</v>
      </c>
      <c r="C141" s="215">
        <v>2322701.89</v>
      </c>
      <c r="D141" s="217">
        <v>0</v>
      </c>
      <c r="E141" s="216">
        <f t="shared" ref="E141:E183" si="10">D141/C141*100</f>
        <v>0</v>
      </c>
      <c r="F141" s="82"/>
      <c r="G141" s="112" t="s">
        <v>32</v>
      </c>
    </row>
    <row r="142" spans="1:12" x14ac:dyDescent="0.2">
      <c r="A142" s="223" t="s">
        <v>267</v>
      </c>
      <c r="B142" s="222">
        <v>0</v>
      </c>
      <c r="C142" s="215">
        <v>10000</v>
      </c>
      <c r="D142" s="217">
        <v>10000</v>
      </c>
      <c r="E142" s="216">
        <f t="shared" si="10"/>
        <v>100</v>
      </c>
      <c r="F142" s="113" t="s">
        <v>177</v>
      </c>
      <c r="G142" s="112" t="s">
        <v>32</v>
      </c>
    </row>
    <row r="143" spans="1:12" s="35" customFormat="1" x14ac:dyDescent="0.2">
      <c r="A143" s="223" t="s">
        <v>435</v>
      </c>
      <c r="B143" s="222">
        <v>30777000</v>
      </c>
      <c r="C143" s="215">
        <v>40923326.380000003</v>
      </c>
      <c r="D143" s="217">
        <v>36755232.25</v>
      </c>
      <c r="E143" s="216">
        <f t="shared" si="10"/>
        <v>89.814869663095067</v>
      </c>
      <c r="F143" s="113" t="s">
        <v>55</v>
      </c>
      <c r="G143" s="112" t="s">
        <v>32</v>
      </c>
      <c r="H143" s="30"/>
    </row>
    <row r="144" spans="1:12" s="35" customFormat="1" x14ac:dyDescent="0.2">
      <c r="A144" s="223" t="s">
        <v>436</v>
      </c>
      <c r="B144" s="222">
        <v>0</v>
      </c>
      <c r="C144" s="215">
        <v>256310</v>
      </c>
      <c r="D144" s="217">
        <v>256310</v>
      </c>
      <c r="E144" s="216">
        <f t="shared" si="10"/>
        <v>100</v>
      </c>
      <c r="F144" s="113" t="s">
        <v>313</v>
      </c>
      <c r="G144" s="112" t="s">
        <v>32</v>
      </c>
      <c r="H144" s="30"/>
    </row>
    <row r="145" spans="1:8" s="35" customFormat="1" x14ac:dyDescent="0.2">
      <c r="A145" s="223" t="s">
        <v>437</v>
      </c>
      <c r="B145" s="222">
        <v>0</v>
      </c>
      <c r="C145" s="215">
        <v>5755000</v>
      </c>
      <c r="D145" s="217">
        <v>2000</v>
      </c>
      <c r="E145" s="216">
        <v>0</v>
      </c>
      <c r="F145" s="113" t="s">
        <v>314</v>
      </c>
      <c r="G145" s="112" t="s">
        <v>32</v>
      </c>
      <c r="H145" s="30"/>
    </row>
    <row r="146" spans="1:8" s="35" customFormat="1" x14ac:dyDescent="0.2">
      <c r="A146" s="223" t="s">
        <v>268</v>
      </c>
      <c r="B146" s="222">
        <v>82000</v>
      </c>
      <c r="C146" s="215">
        <v>104500</v>
      </c>
      <c r="D146" s="217">
        <v>25000</v>
      </c>
      <c r="E146" s="216">
        <f t="shared" si="10"/>
        <v>23.923444976076556</v>
      </c>
      <c r="F146" s="113" t="s">
        <v>178</v>
      </c>
      <c r="G146" s="112" t="s">
        <v>32</v>
      </c>
      <c r="H146" s="31"/>
    </row>
    <row r="147" spans="1:8" s="35" customFormat="1" ht="25.5" x14ac:dyDescent="0.2">
      <c r="A147" s="223" t="s">
        <v>438</v>
      </c>
      <c r="B147" s="222">
        <v>0</v>
      </c>
      <c r="C147" s="215">
        <v>2920000</v>
      </c>
      <c r="D147" s="217">
        <v>0</v>
      </c>
      <c r="E147" s="216">
        <f t="shared" si="10"/>
        <v>0</v>
      </c>
      <c r="F147" s="113" t="s">
        <v>315</v>
      </c>
      <c r="G147" s="112" t="s">
        <v>32</v>
      </c>
      <c r="H147" s="31"/>
    </row>
    <row r="148" spans="1:8" s="35" customFormat="1" x14ac:dyDescent="0.2">
      <c r="A148" s="223" t="s">
        <v>439</v>
      </c>
      <c r="B148" s="214">
        <v>0</v>
      </c>
      <c r="C148" s="217">
        <v>500000</v>
      </c>
      <c r="D148" s="217">
        <v>139045</v>
      </c>
      <c r="E148" s="216">
        <f t="shared" si="10"/>
        <v>27.809000000000001</v>
      </c>
      <c r="F148" s="114" t="s">
        <v>316</v>
      </c>
      <c r="G148" s="135" t="s">
        <v>32</v>
      </c>
      <c r="H148" s="31"/>
    </row>
    <row r="149" spans="1:8" s="35" customFormat="1" x14ac:dyDescent="0.2">
      <c r="A149" s="223" t="s">
        <v>269</v>
      </c>
      <c r="B149" s="214">
        <v>0</v>
      </c>
      <c r="C149" s="217">
        <v>500000</v>
      </c>
      <c r="D149" s="217">
        <v>162620</v>
      </c>
      <c r="E149" s="216">
        <f t="shared" si="10"/>
        <v>32.524000000000001</v>
      </c>
      <c r="F149" s="114" t="s">
        <v>179</v>
      </c>
      <c r="G149" s="135" t="s">
        <v>32</v>
      </c>
      <c r="H149" s="31"/>
    </row>
    <row r="150" spans="1:8" s="35" customFormat="1" x14ac:dyDescent="0.2">
      <c r="A150" s="223" t="s">
        <v>270</v>
      </c>
      <c r="B150" s="214">
        <v>2200000</v>
      </c>
      <c r="C150" s="217">
        <v>2197000</v>
      </c>
      <c r="D150" s="217">
        <v>0</v>
      </c>
      <c r="E150" s="216">
        <f t="shared" si="10"/>
        <v>0</v>
      </c>
      <c r="F150" s="114" t="s">
        <v>122</v>
      </c>
      <c r="G150" s="135" t="s">
        <v>32</v>
      </c>
      <c r="H150" s="31"/>
    </row>
    <row r="151" spans="1:8" s="35" customFormat="1" x14ac:dyDescent="0.2">
      <c r="A151" s="223" t="s">
        <v>126</v>
      </c>
      <c r="B151" s="214">
        <v>1200000</v>
      </c>
      <c r="C151" s="217">
        <v>4294464.87</v>
      </c>
      <c r="D151" s="217">
        <v>3832910.95</v>
      </c>
      <c r="E151" s="216">
        <f t="shared" si="10"/>
        <v>89.25235311099425</v>
      </c>
      <c r="F151" s="114" t="s">
        <v>123</v>
      </c>
      <c r="G151" s="135" t="s">
        <v>32</v>
      </c>
      <c r="H151" s="31"/>
    </row>
    <row r="152" spans="1:8" s="35" customFormat="1" ht="25.5" x14ac:dyDescent="0.2">
      <c r="A152" s="512" t="s">
        <v>440</v>
      </c>
      <c r="B152" s="474">
        <v>0</v>
      </c>
      <c r="C152" s="513">
        <v>30000</v>
      </c>
      <c r="D152" s="513">
        <v>26036</v>
      </c>
      <c r="E152" s="216">
        <f t="shared" si="10"/>
        <v>86.786666666666662</v>
      </c>
      <c r="F152" s="114" t="s">
        <v>317</v>
      </c>
      <c r="G152" s="135" t="s">
        <v>32</v>
      </c>
      <c r="H152" s="31"/>
    </row>
    <row r="153" spans="1:8" s="35" customFormat="1" x14ac:dyDescent="0.2">
      <c r="A153" s="512" t="s">
        <v>441</v>
      </c>
      <c r="B153" s="474">
        <v>0</v>
      </c>
      <c r="C153" s="513">
        <v>3275012.61</v>
      </c>
      <c r="D153" s="513">
        <v>2811310.97</v>
      </c>
      <c r="E153" s="475">
        <f t="shared" si="10"/>
        <v>85.841225814394662</v>
      </c>
      <c r="F153" s="114" t="s">
        <v>318</v>
      </c>
      <c r="G153" s="135"/>
      <c r="H153" s="31"/>
    </row>
    <row r="154" spans="1:8" s="35" customFormat="1" x14ac:dyDescent="0.2">
      <c r="A154" s="512" t="s">
        <v>140</v>
      </c>
      <c r="B154" s="474">
        <v>0</v>
      </c>
      <c r="C154" s="513">
        <v>43035.13</v>
      </c>
      <c r="D154" s="513">
        <v>0</v>
      </c>
      <c r="E154" s="475">
        <f t="shared" si="10"/>
        <v>0</v>
      </c>
      <c r="F154" s="114" t="s">
        <v>132</v>
      </c>
      <c r="G154" s="135" t="s">
        <v>32</v>
      </c>
      <c r="H154" s="31"/>
    </row>
    <row r="155" spans="1:8" s="35" customFormat="1" x14ac:dyDescent="0.2">
      <c r="A155" s="512" t="s">
        <v>141</v>
      </c>
      <c r="B155" s="474">
        <v>0</v>
      </c>
      <c r="C155" s="513">
        <v>108000</v>
      </c>
      <c r="D155" s="513">
        <v>107448</v>
      </c>
      <c r="E155" s="475">
        <f t="shared" si="10"/>
        <v>99.488888888888894</v>
      </c>
      <c r="F155" s="114" t="s">
        <v>133</v>
      </c>
      <c r="G155" s="135" t="s">
        <v>32</v>
      </c>
      <c r="H155" s="31"/>
    </row>
    <row r="156" spans="1:8" s="35" customFormat="1" ht="25.5" x14ac:dyDescent="0.2">
      <c r="A156" s="512" t="s">
        <v>271</v>
      </c>
      <c r="B156" s="474">
        <v>2500000</v>
      </c>
      <c r="C156" s="513">
        <v>2500000</v>
      </c>
      <c r="D156" s="513">
        <v>698896</v>
      </c>
      <c r="E156" s="475">
        <f t="shared" si="10"/>
        <v>27.955839999999998</v>
      </c>
      <c r="F156" s="114" t="s">
        <v>180</v>
      </c>
      <c r="G156" s="135" t="s">
        <v>32</v>
      </c>
      <c r="H156" s="31"/>
    </row>
    <row r="157" spans="1:8" s="35" customFormat="1" x14ac:dyDescent="0.2">
      <c r="A157" s="512" t="s">
        <v>272</v>
      </c>
      <c r="B157" s="474">
        <v>1000000</v>
      </c>
      <c r="C157" s="513">
        <v>1000000</v>
      </c>
      <c r="D157" s="513">
        <v>0</v>
      </c>
      <c r="E157" s="475">
        <f t="shared" si="10"/>
        <v>0</v>
      </c>
      <c r="F157" s="114" t="s">
        <v>181</v>
      </c>
      <c r="G157" s="135" t="s">
        <v>32</v>
      </c>
      <c r="H157" s="31"/>
    </row>
    <row r="158" spans="1:8" s="35" customFormat="1" x14ac:dyDescent="0.2">
      <c r="A158" s="512" t="s">
        <v>273</v>
      </c>
      <c r="B158" s="474">
        <v>1000000</v>
      </c>
      <c r="C158" s="513">
        <v>1000000</v>
      </c>
      <c r="D158" s="513">
        <v>73810</v>
      </c>
      <c r="E158" s="475">
        <f t="shared" si="10"/>
        <v>7.3810000000000002</v>
      </c>
      <c r="F158" s="114" t="s">
        <v>182</v>
      </c>
      <c r="G158" s="135" t="s">
        <v>32</v>
      </c>
      <c r="H158" s="31"/>
    </row>
    <row r="159" spans="1:8" s="35" customFormat="1" x14ac:dyDescent="0.2">
      <c r="A159" s="512" t="s">
        <v>276</v>
      </c>
      <c r="B159" s="474">
        <v>10000000</v>
      </c>
      <c r="C159" s="513">
        <v>963463.6</v>
      </c>
      <c r="D159" s="513">
        <v>367750</v>
      </c>
      <c r="E159" s="475">
        <f t="shared" si="10"/>
        <v>38.169579006409791</v>
      </c>
      <c r="F159" s="114" t="s">
        <v>185</v>
      </c>
      <c r="G159" s="135" t="s">
        <v>32</v>
      </c>
      <c r="H159" s="31"/>
    </row>
    <row r="160" spans="1:8" s="35" customFormat="1" x14ac:dyDescent="0.2">
      <c r="A160" s="512" t="s">
        <v>442</v>
      </c>
      <c r="B160" s="474">
        <v>700000</v>
      </c>
      <c r="C160" s="513">
        <v>4458937.75</v>
      </c>
      <c r="D160" s="513">
        <v>3669807.75</v>
      </c>
      <c r="E160" s="475">
        <f t="shared" si="10"/>
        <v>82.302287131054925</v>
      </c>
      <c r="F160" s="114" t="s">
        <v>319</v>
      </c>
      <c r="G160" s="135" t="s">
        <v>32</v>
      </c>
      <c r="H160" s="31"/>
    </row>
    <row r="161" spans="1:8" s="35" customFormat="1" x14ac:dyDescent="0.2">
      <c r="A161" s="512" t="s">
        <v>443</v>
      </c>
      <c r="B161" s="474">
        <v>1000000</v>
      </c>
      <c r="C161" s="513">
        <v>1000000</v>
      </c>
      <c r="D161" s="513">
        <v>0</v>
      </c>
      <c r="E161" s="475">
        <f t="shared" si="10"/>
        <v>0</v>
      </c>
      <c r="F161" s="114" t="s">
        <v>320</v>
      </c>
      <c r="G161" s="135" t="s">
        <v>32</v>
      </c>
      <c r="H161" s="31"/>
    </row>
    <row r="162" spans="1:8" s="35" customFormat="1" x14ac:dyDescent="0.2">
      <c r="A162" s="512" t="s">
        <v>444</v>
      </c>
      <c r="B162" s="474">
        <v>5000000</v>
      </c>
      <c r="C162" s="513">
        <v>5122210.0199999996</v>
      </c>
      <c r="D162" s="513">
        <v>5114261.16</v>
      </c>
      <c r="E162" s="475">
        <f t="shared" si="10"/>
        <v>99.844815812530868</v>
      </c>
      <c r="F162" s="114" t="s">
        <v>321</v>
      </c>
      <c r="G162" s="135" t="s">
        <v>32</v>
      </c>
      <c r="H162" s="31"/>
    </row>
    <row r="163" spans="1:8" s="35" customFormat="1" x14ac:dyDescent="0.2">
      <c r="A163" s="512" t="s">
        <v>445</v>
      </c>
      <c r="B163" s="474">
        <v>0</v>
      </c>
      <c r="C163" s="513">
        <v>949000</v>
      </c>
      <c r="D163" s="513">
        <v>83310.399999999994</v>
      </c>
      <c r="E163" s="475">
        <f t="shared" si="10"/>
        <v>8.7787565858798722</v>
      </c>
      <c r="F163" s="114" t="s">
        <v>322</v>
      </c>
      <c r="G163" s="135" t="s">
        <v>32</v>
      </c>
      <c r="H163" s="31"/>
    </row>
    <row r="164" spans="1:8" s="35" customFormat="1" x14ac:dyDescent="0.2">
      <c r="A164" s="512" t="s">
        <v>446</v>
      </c>
      <c r="B164" s="474">
        <v>0</v>
      </c>
      <c r="C164" s="513">
        <v>15500</v>
      </c>
      <c r="D164" s="513">
        <v>15500</v>
      </c>
      <c r="E164" s="475">
        <f t="shared" si="10"/>
        <v>100</v>
      </c>
      <c r="F164" s="114" t="s">
        <v>323</v>
      </c>
      <c r="G164" s="135" t="s">
        <v>32</v>
      </c>
      <c r="H164" s="31"/>
    </row>
    <row r="165" spans="1:8" s="35" customFormat="1" x14ac:dyDescent="0.2">
      <c r="A165" s="512" t="s">
        <v>447</v>
      </c>
      <c r="B165" s="474">
        <v>0</v>
      </c>
      <c r="C165" s="513">
        <v>106250</v>
      </c>
      <c r="D165" s="513">
        <v>15500</v>
      </c>
      <c r="E165" s="475">
        <f t="shared" si="10"/>
        <v>14.588235294117647</v>
      </c>
      <c r="F165" s="114" t="s">
        <v>324</v>
      </c>
      <c r="G165" s="135" t="s">
        <v>32</v>
      </c>
      <c r="H165" s="31"/>
    </row>
    <row r="166" spans="1:8" s="35" customFormat="1" x14ac:dyDescent="0.2">
      <c r="A166" s="512" t="s">
        <v>448</v>
      </c>
      <c r="B166" s="474">
        <v>0</v>
      </c>
      <c r="C166" s="513">
        <v>74000</v>
      </c>
      <c r="D166" s="513">
        <v>13500</v>
      </c>
      <c r="E166" s="475">
        <f t="shared" si="10"/>
        <v>18.243243243243242</v>
      </c>
      <c r="F166" s="114" t="s">
        <v>325</v>
      </c>
      <c r="G166" s="135" t="s">
        <v>32</v>
      </c>
      <c r="H166" s="31"/>
    </row>
    <row r="167" spans="1:8" s="35" customFormat="1" x14ac:dyDescent="0.2">
      <c r="A167" s="512" t="s">
        <v>449</v>
      </c>
      <c r="B167" s="474">
        <v>0</v>
      </c>
      <c r="C167" s="513">
        <v>136600</v>
      </c>
      <c r="D167" s="513">
        <v>15600</v>
      </c>
      <c r="E167" s="475">
        <f t="shared" si="10"/>
        <v>11.420204978038068</v>
      </c>
      <c r="F167" s="114" t="s">
        <v>326</v>
      </c>
      <c r="G167" s="135" t="s">
        <v>32</v>
      </c>
      <c r="H167" s="31"/>
    </row>
    <row r="168" spans="1:8" s="35" customFormat="1" x14ac:dyDescent="0.2">
      <c r="A168" s="512" t="s">
        <v>450</v>
      </c>
      <c r="B168" s="474">
        <v>0</v>
      </c>
      <c r="C168" s="513">
        <v>184900</v>
      </c>
      <c r="D168" s="513">
        <v>15500</v>
      </c>
      <c r="E168" s="475">
        <f t="shared" si="10"/>
        <v>8.3829096809086003</v>
      </c>
      <c r="F168" s="114" t="s">
        <v>327</v>
      </c>
      <c r="G168" s="135" t="s">
        <v>32</v>
      </c>
      <c r="H168" s="31"/>
    </row>
    <row r="169" spans="1:8" s="35" customFormat="1" x14ac:dyDescent="0.2">
      <c r="A169" s="512" t="s">
        <v>451</v>
      </c>
      <c r="B169" s="474">
        <v>0</v>
      </c>
      <c r="C169" s="513">
        <v>178850</v>
      </c>
      <c r="D169" s="513">
        <v>15500</v>
      </c>
      <c r="E169" s="475">
        <f t="shared" si="10"/>
        <v>8.6664802907464349</v>
      </c>
      <c r="F169" s="114" t="s">
        <v>328</v>
      </c>
      <c r="G169" s="135" t="s">
        <v>32</v>
      </c>
      <c r="H169" s="31"/>
    </row>
    <row r="170" spans="1:8" s="35" customFormat="1" x14ac:dyDescent="0.2">
      <c r="A170" s="512" t="s">
        <v>452</v>
      </c>
      <c r="B170" s="474">
        <v>0</v>
      </c>
      <c r="C170" s="513">
        <v>166750</v>
      </c>
      <c r="D170" s="513">
        <v>103830</v>
      </c>
      <c r="E170" s="475">
        <f t="shared" si="10"/>
        <v>62.266866566716637</v>
      </c>
      <c r="F170" s="114" t="s">
        <v>329</v>
      </c>
      <c r="G170" s="135" t="s">
        <v>32</v>
      </c>
      <c r="H170" s="31"/>
    </row>
    <row r="171" spans="1:8" s="35" customFormat="1" x14ac:dyDescent="0.2">
      <c r="A171" s="512" t="s">
        <v>453</v>
      </c>
      <c r="B171" s="474">
        <v>0</v>
      </c>
      <c r="C171" s="513">
        <v>220704</v>
      </c>
      <c r="D171" s="513">
        <v>65824</v>
      </c>
      <c r="E171" s="475">
        <f t="shared" si="10"/>
        <v>29.82456140350877</v>
      </c>
      <c r="F171" s="114" t="s">
        <v>330</v>
      </c>
      <c r="G171" s="135" t="s">
        <v>32</v>
      </c>
      <c r="H171" s="31"/>
    </row>
    <row r="172" spans="1:8" s="35" customFormat="1" ht="25.5" x14ac:dyDescent="0.2">
      <c r="A172" s="512" t="s">
        <v>454</v>
      </c>
      <c r="B172" s="474">
        <v>0</v>
      </c>
      <c r="C172" s="513">
        <v>126808</v>
      </c>
      <c r="D172" s="513">
        <v>60306.400000000001</v>
      </c>
      <c r="E172" s="475">
        <f t="shared" si="10"/>
        <v>47.55725190839695</v>
      </c>
      <c r="F172" s="114" t="s">
        <v>331</v>
      </c>
      <c r="G172" s="135" t="s">
        <v>32</v>
      </c>
      <c r="H172" s="31"/>
    </row>
    <row r="173" spans="1:8" s="35" customFormat="1" x14ac:dyDescent="0.2">
      <c r="A173" s="512" t="s">
        <v>455</v>
      </c>
      <c r="B173" s="474">
        <v>0</v>
      </c>
      <c r="C173" s="513">
        <v>105149</v>
      </c>
      <c r="D173" s="513">
        <v>56724.800000000003</v>
      </c>
      <c r="E173" s="475">
        <f t="shared" si="10"/>
        <v>53.947065592635212</v>
      </c>
      <c r="F173" s="114" t="s">
        <v>332</v>
      </c>
      <c r="G173" s="135" t="s">
        <v>32</v>
      </c>
      <c r="H173" s="31"/>
    </row>
    <row r="174" spans="1:8" s="35" customFormat="1" x14ac:dyDescent="0.2">
      <c r="A174" s="512" t="s">
        <v>456</v>
      </c>
      <c r="B174" s="474">
        <v>0</v>
      </c>
      <c r="C174" s="513">
        <v>123299</v>
      </c>
      <c r="D174" s="513">
        <v>60984</v>
      </c>
      <c r="E174" s="475">
        <f t="shared" si="10"/>
        <v>49.460255152109909</v>
      </c>
      <c r="F174" s="114" t="s">
        <v>333</v>
      </c>
      <c r="G174" s="135" t="s">
        <v>32</v>
      </c>
      <c r="H174" s="31"/>
    </row>
    <row r="175" spans="1:8" s="35" customFormat="1" ht="25.5" x14ac:dyDescent="0.2">
      <c r="A175" s="512" t="s">
        <v>457</v>
      </c>
      <c r="B175" s="474">
        <v>0</v>
      </c>
      <c r="C175" s="513">
        <v>213444</v>
      </c>
      <c r="D175" s="513">
        <v>57934.8</v>
      </c>
      <c r="E175" s="475">
        <f t="shared" si="10"/>
        <v>27.142857142857146</v>
      </c>
      <c r="F175" s="114" t="s">
        <v>334</v>
      </c>
      <c r="G175" s="135" t="s">
        <v>32</v>
      </c>
      <c r="H175" s="31"/>
    </row>
    <row r="176" spans="1:8" s="35" customFormat="1" ht="25.5" x14ac:dyDescent="0.2">
      <c r="A176" s="512" t="s">
        <v>458</v>
      </c>
      <c r="B176" s="474">
        <v>0</v>
      </c>
      <c r="C176" s="513">
        <v>119790</v>
      </c>
      <c r="D176" s="513">
        <v>58564</v>
      </c>
      <c r="E176" s="475">
        <f t="shared" si="10"/>
        <v>48.888888888888886</v>
      </c>
      <c r="F176" s="114" t="s">
        <v>335</v>
      </c>
      <c r="G176" s="135" t="s">
        <v>32</v>
      </c>
      <c r="H176" s="31"/>
    </row>
    <row r="177" spans="1:8" s="35" customFormat="1" x14ac:dyDescent="0.2">
      <c r="A177" s="512" t="s">
        <v>459</v>
      </c>
      <c r="B177" s="474">
        <v>0</v>
      </c>
      <c r="C177" s="513">
        <v>117309.5</v>
      </c>
      <c r="D177" s="513">
        <v>60354.8</v>
      </c>
      <c r="E177" s="475">
        <f t="shared" si="10"/>
        <v>51.449200618875714</v>
      </c>
      <c r="F177" s="114" t="s">
        <v>336</v>
      </c>
      <c r="G177" s="135" t="s">
        <v>32</v>
      </c>
      <c r="H177" s="31"/>
    </row>
    <row r="178" spans="1:8" s="35" customFormat="1" x14ac:dyDescent="0.2">
      <c r="A178" s="512" t="s">
        <v>460</v>
      </c>
      <c r="B178" s="474">
        <v>0</v>
      </c>
      <c r="C178" s="513">
        <v>201102</v>
      </c>
      <c r="D178" s="513">
        <v>62145.599999999999</v>
      </c>
      <c r="E178" s="475">
        <f t="shared" si="10"/>
        <v>30.902527075812277</v>
      </c>
      <c r="F178" s="114" t="s">
        <v>337</v>
      </c>
      <c r="G178" s="135" t="s">
        <v>32</v>
      </c>
      <c r="H178" s="31"/>
    </row>
    <row r="179" spans="1:8" s="35" customFormat="1" x14ac:dyDescent="0.2">
      <c r="A179" s="512" t="s">
        <v>461</v>
      </c>
      <c r="B179" s="474">
        <v>0</v>
      </c>
      <c r="C179" s="513">
        <v>600000</v>
      </c>
      <c r="D179" s="513">
        <v>0</v>
      </c>
      <c r="E179" s="475">
        <f t="shared" si="10"/>
        <v>0</v>
      </c>
      <c r="F179" s="114" t="s">
        <v>338</v>
      </c>
      <c r="G179" s="135" t="s">
        <v>32</v>
      </c>
      <c r="H179" s="31"/>
    </row>
    <row r="180" spans="1:8" s="35" customFormat="1" x14ac:dyDescent="0.2">
      <c r="A180" s="512" t="s">
        <v>462</v>
      </c>
      <c r="B180" s="474">
        <v>0</v>
      </c>
      <c r="C180" s="513">
        <v>600000</v>
      </c>
      <c r="D180" s="513">
        <v>0</v>
      </c>
      <c r="E180" s="475">
        <f t="shared" si="10"/>
        <v>0</v>
      </c>
      <c r="F180" s="114" t="s">
        <v>339</v>
      </c>
      <c r="G180" s="135" t="s">
        <v>32</v>
      </c>
      <c r="H180" s="31"/>
    </row>
    <row r="181" spans="1:8" s="35" customFormat="1" x14ac:dyDescent="0.2">
      <c r="A181" s="512" t="s">
        <v>463</v>
      </c>
      <c r="B181" s="474">
        <v>0</v>
      </c>
      <c r="C181" s="513">
        <v>600000</v>
      </c>
      <c r="D181" s="513">
        <v>0</v>
      </c>
      <c r="E181" s="475">
        <f t="shared" si="10"/>
        <v>0</v>
      </c>
      <c r="F181" s="114" t="s">
        <v>340</v>
      </c>
      <c r="G181" s="135" t="s">
        <v>32</v>
      </c>
      <c r="H181" s="31"/>
    </row>
    <row r="182" spans="1:8" s="35" customFormat="1" x14ac:dyDescent="0.2">
      <c r="A182" s="512" t="s">
        <v>464</v>
      </c>
      <c r="B182" s="474">
        <v>0</v>
      </c>
      <c r="C182" s="513">
        <v>1200000</v>
      </c>
      <c r="D182" s="513">
        <v>0</v>
      </c>
      <c r="E182" s="475">
        <f t="shared" si="10"/>
        <v>0</v>
      </c>
      <c r="F182" s="114" t="s">
        <v>341</v>
      </c>
      <c r="G182" s="135" t="s">
        <v>32</v>
      </c>
      <c r="H182" s="31"/>
    </row>
    <row r="183" spans="1:8" s="35" customFormat="1" x14ac:dyDescent="0.2">
      <c r="A183" s="512" t="s">
        <v>465</v>
      </c>
      <c r="B183" s="474">
        <v>0</v>
      </c>
      <c r="C183" s="513">
        <v>135520</v>
      </c>
      <c r="D183" s="513">
        <v>0</v>
      </c>
      <c r="E183" s="475">
        <f t="shared" si="10"/>
        <v>0</v>
      </c>
      <c r="F183" s="114" t="s">
        <v>342</v>
      </c>
      <c r="G183" s="135" t="s">
        <v>32</v>
      </c>
      <c r="H183" s="31"/>
    </row>
    <row r="184" spans="1:8" s="35" customFormat="1" ht="13.5" thickBot="1" x14ac:dyDescent="0.25">
      <c r="A184" s="224" t="s">
        <v>140</v>
      </c>
      <c r="B184" s="399">
        <v>3500000</v>
      </c>
      <c r="C184" s="220">
        <v>0</v>
      </c>
      <c r="D184" s="220">
        <v>0</v>
      </c>
      <c r="E184" s="221">
        <v>0</v>
      </c>
      <c r="F184" s="114" t="s">
        <v>132</v>
      </c>
      <c r="G184" s="135" t="s">
        <v>32</v>
      </c>
      <c r="H184" s="31"/>
    </row>
    <row r="185" spans="1:8" s="52" customFormat="1" ht="15.75" thickTop="1" x14ac:dyDescent="0.25">
      <c r="A185" s="39"/>
      <c r="B185" s="32"/>
      <c r="C185" s="5"/>
      <c r="D185" s="3"/>
      <c r="E185" s="40"/>
      <c r="F185" s="87"/>
      <c r="G185" s="51"/>
      <c r="H185" s="51"/>
    </row>
    <row r="186" spans="1:8" s="52" customFormat="1" ht="15.75" thickBot="1" x14ac:dyDescent="0.25">
      <c r="A186" s="55" t="s">
        <v>29</v>
      </c>
      <c r="B186" s="32"/>
      <c r="C186" s="5"/>
      <c r="D186" s="5"/>
      <c r="E186" s="40" t="s">
        <v>18</v>
      </c>
      <c r="F186" s="87"/>
      <c r="G186" s="51"/>
      <c r="H186" s="51"/>
    </row>
    <row r="187" spans="1:8" s="52" customFormat="1" ht="14.25" thickTop="1" thickBot="1" x14ac:dyDescent="0.25">
      <c r="A187" s="41" t="s">
        <v>5</v>
      </c>
      <c r="B187" s="42" t="s">
        <v>0</v>
      </c>
      <c r="C187" s="43" t="s">
        <v>1</v>
      </c>
      <c r="D187" s="44" t="s">
        <v>4</v>
      </c>
      <c r="E187" s="45" t="s">
        <v>6</v>
      </c>
      <c r="F187" s="87"/>
      <c r="G187" s="51"/>
      <c r="H187" s="51"/>
    </row>
    <row r="188" spans="1:8" s="52" customFormat="1" ht="15.75" thickTop="1" x14ac:dyDescent="0.2">
      <c r="A188" s="147" t="s">
        <v>9</v>
      </c>
      <c r="B188" s="108">
        <f>SUM(B189:B223)</f>
        <v>7283000</v>
      </c>
      <c r="C188" s="108">
        <f>SUM(C189:C223)</f>
        <v>38085709.410000004</v>
      </c>
      <c r="D188" s="108">
        <f>SUM(D189:D223)</f>
        <v>38085709.410000004</v>
      </c>
      <c r="E188" s="148">
        <f>D188/C188*100</f>
        <v>100</v>
      </c>
      <c r="G188" s="117"/>
      <c r="H188" s="51"/>
    </row>
    <row r="189" spans="1:8" s="52" customFormat="1" x14ac:dyDescent="0.2">
      <c r="A189" s="504" t="s">
        <v>250</v>
      </c>
      <c r="B189" s="403">
        <v>5261000</v>
      </c>
      <c r="C189" s="400">
        <v>0</v>
      </c>
      <c r="D189" s="400">
        <v>0</v>
      </c>
      <c r="E189" s="216">
        <v>0</v>
      </c>
      <c r="G189" s="117"/>
      <c r="H189" s="51"/>
    </row>
    <row r="190" spans="1:8" s="52" customFormat="1" x14ac:dyDescent="0.2">
      <c r="A190" s="504"/>
      <c r="B190" s="403">
        <v>0</v>
      </c>
      <c r="C190" s="400">
        <v>309237.3</v>
      </c>
      <c r="D190" s="400">
        <v>309237.3</v>
      </c>
      <c r="E190" s="216">
        <f t="shared" ref="E190:E223" si="11">D190/C190*100</f>
        <v>100</v>
      </c>
      <c r="F190" s="115">
        <v>1638</v>
      </c>
      <c r="G190" s="117" t="s">
        <v>82</v>
      </c>
      <c r="H190" s="51"/>
    </row>
    <row r="191" spans="1:8" s="52" customFormat="1" x14ac:dyDescent="0.2">
      <c r="A191" s="504"/>
      <c r="B191" s="403">
        <v>0</v>
      </c>
      <c r="C191" s="400">
        <v>625000</v>
      </c>
      <c r="D191" s="400">
        <v>625000</v>
      </c>
      <c r="E191" s="216">
        <f t="shared" si="11"/>
        <v>100</v>
      </c>
      <c r="F191" s="115" t="s">
        <v>190</v>
      </c>
      <c r="G191" s="117" t="s">
        <v>82</v>
      </c>
      <c r="H191" s="51"/>
    </row>
    <row r="192" spans="1:8" s="52" customFormat="1" x14ac:dyDescent="0.2">
      <c r="A192" s="504"/>
      <c r="B192" s="403">
        <v>0</v>
      </c>
      <c r="C192" s="400">
        <v>579146</v>
      </c>
      <c r="D192" s="400">
        <v>579146</v>
      </c>
      <c r="E192" s="216">
        <f t="shared" si="11"/>
        <v>100</v>
      </c>
      <c r="F192" s="115" t="s">
        <v>386</v>
      </c>
      <c r="G192" s="117" t="s">
        <v>82</v>
      </c>
      <c r="H192" s="51"/>
    </row>
    <row r="193" spans="1:8" s="52" customFormat="1" x14ac:dyDescent="0.2">
      <c r="A193" s="504"/>
      <c r="B193" s="403">
        <v>0</v>
      </c>
      <c r="C193" s="400">
        <v>1203589</v>
      </c>
      <c r="D193" s="400">
        <v>1203589</v>
      </c>
      <c r="E193" s="216">
        <f t="shared" si="11"/>
        <v>100</v>
      </c>
      <c r="F193" s="115" t="s">
        <v>186</v>
      </c>
      <c r="G193" s="117" t="s">
        <v>82</v>
      </c>
      <c r="H193" s="51"/>
    </row>
    <row r="194" spans="1:8" s="52" customFormat="1" x14ac:dyDescent="0.2">
      <c r="A194" s="213"/>
      <c r="B194" s="403">
        <v>0</v>
      </c>
      <c r="C194" s="400">
        <v>99983</v>
      </c>
      <c r="D194" s="400">
        <v>99983</v>
      </c>
      <c r="E194" s="216">
        <f t="shared" si="11"/>
        <v>100</v>
      </c>
      <c r="F194" s="115" t="s">
        <v>387</v>
      </c>
      <c r="G194" s="117" t="s">
        <v>82</v>
      </c>
      <c r="H194" s="51"/>
    </row>
    <row r="195" spans="1:8" s="52" customFormat="1" x14ac:dyDescent="0.2">
      <c r="A195" s="504"/>
      <c r="B195" s="403">
        <v>0</v>
      </c>
      <c r="C195" s="400">
        <v>315000</v>
      </c>
      <c r="D195" s="400">
        <v>315000</v>
      </c>
      <c r="E195" s="216">
        <f t="shared" si="11"/>
        <v>100</v>
      </c>
      <c r="F195" s="115" t="s">
        <v>193</v>
      </c>
      <c r="G195" s="117" t="s">
        <v>82</v>
      </c>
      <c r="H195" s="51"/>
    </row>
    <row r="196" spans="1:8" s="52" customFormat="1" x14ac:dyDescent="0.2">
      <c r="A196" s="504"/>
      <c r="B196" s="403">
        <v>0</v>
      </c>
      <c r="C196" s="400">
        <v>275600</v>
      </c>
      <c r="D196" s="400">
        <v>275600</v>
      </c>
      <c r="E196" s="216">
        <f t="shared" si="11"/>
        <v>100</v>
      </c>
      <c r="F196" s="115" t="s">
        <v>388</v>
      </c>
      <c r="G196" s="117" t="s">
        <v>82</v>
      </c>
      <c r="H196" s="51"/>
    </row>
    <row r="197" spans="1:8" s="52" customFormat="1" x14ac:dyDescent="0.2">
      <c r="A197" s="504"/>
      <c r="B197" s="403">
        <v>1400000</v>
      </c>
      <c r="C197" s="400">
        <v>2570879.16</v>
      </c>
      <c r="D197" s="400">
        <v>2570879.16</v>
      </c>
      <c r="E197" s="216">
        <f t="shared" si="11"/>
        <v>100</v>
      </c>
      <c r="F197" s="115" t="s">
        <v>54</v>
      </c>
      <c r="G197" s="117" t="s">
        <v>82</v>
      </c>
      <c r="H197" s="51"/>
    </row>
    <row r="198" spans="1:8" s="52" customFormat="1" x14ac:dyDescent="0.2">
      <c r="A198" s="213"/>
      <c r="B198" s="403">
        <v>0</v>
      </c>
      <c r="C198" s="400">
        <v>553555</v>
      </c>
      <c r="D198" s="400">
        <v>553555</v>
      </c>
      <c r="E198" s="216">
        <f t="shared" si="11"/>
        <v>100</v>
      </c>
      <c r="F198" s="115" t="s">
        <v>62</v>
      </c>
      <c r="G198" s="117" t="s">
        <v>82</v>
      </c>
      <c r="H198" s="51"/>
    </row>
    <row r="199" spans="1:8" s="52" customFormat="1" x14ac:dyDescent="0.2">
      <c r="A199" s="504"/>
      <c r="B199" s="403">
        <v>0</v>
      </c>
      <c r="C199" s="400">
        <v>1010332</v>
      </c>
      <c r="D199" s="400">
        <v>1010332</v>
      </c>
      <c r="E199" s="216">
        <f t="shared" si="11"/>
        <v>100</v>
      </c>
      <c r="F199" s="115" t="s">
        <v>389</v>
      </c>
      <c r="G199" s="117" t="s">
        <v>83</v>
      </c>
      <c r="H199" s="51"/>
    </row>
    <row r="200" spans="1:8" s="52" customFormat="1" x14ac:dyDescent="0.2">
      <c r="A200" s="213"/>
      <c r="B200" s="403">
        <v>0</v>
      </c>
      <c r="C200" s="400">
        <v>265111</v>
      </c>
      <c r="D200" s="400">
        <v>265111</v>
      </c>
      <c r="E200" s="216">
        <f t="shared" si="11"/>
        <v>100</v>
      </c>
      <c r="F200" s="115" t="s">
        <v>188</v>
      </c>
      <c r="G200" s="117" t="s">
        <v>83</v>
      </c>
      <c r="H200" s="51"/>
    </row>
    <row r="201" spans="1:8" s="52" customFormat="1" x14ac:dyDescent="0.2">
      <c r="A201" s="504"/>
      <c r="B201" s="403">
        <v>0</v>
      </c>
      <c r="C201" s="400">
        <v>1538430.3</v>
      </c>
      <c r="D201" s="400">
        <v>1538430.3</v>
      </c>
      <c r="E201" s="216">
        <f t="shared" si="11"/>
        <v>100</v>
      </c>
      <c r="F201" s="115" t="s">
        <v>390</v>
      </c>
      <c r="G201" s="117" t="s">
        <v>83</v>
      </c>
      <c r="H201" s="51"/>
    </row>
    <row r="202" spans="1:8" s="52" customFormat="1" x14ac:dyDescent="0.2">
      <c r="A202" s="504"/>
      <c r="B202" s="403">
        <v>0</v>
      </c>
      <c r="C202" s="400">
        <v>453966.04</v>
      </c>
      <c r="D202" s="400">
        <v>453966.04</v>
      </c>
      <c r="E202" s="216">
        <f t="shared" si="11"/>
        <v>100</v>
      </c>
      <c r="F202" s="115" t="s">
        <v>391</v>
      </c>
      <c r="G202" s="117" t="s">
        <v>83</v>
      </c>
      <c r="H202" s="51"/>
    </row>
    <row r="203" spans="1:8" s="52" customFormat="1" x14ac:dyDescent="0.2">
      <c r="A203" s="504"/>
      <c r="B203" s="403">
        <v>0</v>
      </c>
      <c r="C203" s="400">
        <v>687703.5</v>
      </c>
      <c r="D203" s="400">
        <v>687703.5</v>
      </c>
      <c r="E203" s="216">
        <f t="shared" si="11"/>
        <v>100</v>
      </c>
      <c r="F203" s="115" t="s">
        <v>124</v>
      </c>
      <c r="G203" s="117" t="s">
        <v>83</v>
      </c>
      <c r="H203" s="51"/>
    </row>
    <row r="204" spans="1:8" s="52" customFormat="1" x14ac:dyDescent="0.2">
      <c r="A204" s="504"/>
      <c r="B204" s="403">
        <v>0</v>
      </c>
      <c r="C204" s="400">
        <v>848019</v>
      </c>
      <c r="D204" s="400">
        <v>848019</v>
      </c>
      <c r="E204" s="216">
        <f t="shared" si="11"/>
        <v>100</v>
      </c>
      <c r="F204" s="115" t="s">
        <v>189</v>
      </c>
      <c r="G204" s="117" t="s">
        <v>83</v>
      </c>
      <c r="H204" s="51"/>
    </row>
    <row r="205" spans="1:8" s="52" customFormat="1" ht="12.75" customHeight="1" x14ac:dyDescent="0.2">
      <c r="A205" s="504"/>
      <c r="B205" s="403">
        <v>0</v>
      </c>
      <c r="C205" s="400">
        <v>2644479.7799999998</v>
      </c>
      <c r="D205" s="400">
        <v>2644479.7799999998</v>
      </c>
      <c r="E205" s="216">
        <f t="shared" si="11"/>
        <v>100</v>
      </c>
      <c r="F205" s="115" t="s">
        <v>190</v>
      </c>
      <c r="G205" s="117" t="s">
        <v>83</v>
      </c>
      <c r="H205" s="51"/>
    </row>
    <row r="206" spans="1:8" s="52" customFormat="1" ht="12.75" customHeight="1" x14ac:dyDescent="0.2">
      <c r="A206" s="504"/>
      <c r="B206" s="403">
        <v>0</v>
      </c>
      <c r="C206" s="400">
        <v>724732.5</v>
      </c>
      <c r="D206" s="400">
        <v>724732.5</v>
      </c>
      <c r="E206" s="216">
        <f t="shared" si="11"/>
        <v>100</v>
      </c>
      <c r="F206" s="115" t="s">
        <v>84</v>
      </c>
      <c r="G206" s="117" t="s">
        <v>83</v>
      </c>
      <c r="H206" s="51"/>
    </row>
    <row r="207" spans="1:8" s="52" customFormat="1" ht="12.75" customHeight="1" x14ac:dyDescent="0.2">
      <c r="A207" s="504"/>
      <c r="B207" s="403">
        <v>0</v>
      </c>
      <c r="C207" s="400">
        <v>1167994</v>
      </c>
      <c r="D207" s="400">
        <v>1167994</v>
      </c>
      <c r="E207" s="216">
        <f t="shared" si="11"/>
        <v>100</v>
      </c>
      <c r="F207" s="115" t="s">
        <v>386</v>
      </c>
      <c r="G207" s="117" t="s">
        <v>83</v>
      </c>
      <c r="H207" s="51"/>
    </row>
    <row r="208" spans="1:8" s="52" customFormat="1" x14ac:dyDescent="0.2">
      <c r="A208" s="213"/>
      <c r="B208" s="403">
        <v>0</v>
      </c>
      <c r="C208" s="400">
        <v>3045713.3</v>
      </c>
      <c r="D208" s="400">
        <v>3045713.3</v>
      </c>
      <c r="E208" s="216">
        <f t="shared" si="11"/>
        <v>100</v>
      </c>
      <c r="F208" s="115" t="s">
        <v>61</v>
      </c>
      <c r="G208" s="117" t="s">
        <v>83</v>
      </c>
      <c r="H208" s="51"/>
    </row>
    <row r="209" spans="1:8" s="52" customFormat="1" x14ac:dyDescent="0.2">
      <c r="A209" s="504"/>
      <c r="B209" s="403">
        <v>0</v>
      </c>
      <c r="C209" s="400">
        <v>232712</v>
      </c>
      <c r="D209" s="400">
        <v>232712</v>
      </c>
      <c r="E209" s="216">
        <f t="shared" si="11"/>
        <v>100</v>
      </c>
      <c r="F209" s="115" t="s">
        <v>186</v>
      </c>
      <c r="G209" s="117" t="s">
        <v>83</v>
      </c>
      <c r="H209" s="51"/>
    </row>
    <row r="210" spans="1:8" s="52" customFormat="1" x14ac:dyDescent="0.2">
      <c r="A210" s="504"/>
      <c r="B210" s="403">
        <v>0</v>
      </c>
      <c r="C210" s="400">
        <v>450000</v>
      </c>
      <c r="D210" s="400">
        <v>450000</v>
      </c>
      <c r="E210" s="216">
        <f t="shared" si="11"/>
        <v>100</v>
      </c>
      <c r="F210" s="115" t="s">
        <v>191</v>
      </c>
      <c r="G210" s="117" t="s">
        <v>83</v>
      </c>
      <c r="H210" s="51"/>
    </row>
    <row r="211" spans="1:8" s="52" customFormat="1" x14ac:dyDescent="0.2">
      <c r="A211" s="504"/>
      <c r="B211" s="403">
        <v>0</v>
      </c>
      <c r="C211" s="400">
        <v>877598.67</v>
      </c>
      <c r="D211" s="400">
        <v>877598.67</v>
      </c>
      <c r="E211" s="216">
        <f t="shared" si="11"/>
        <v>100</v>
      </c>
      <c r="F211" s="115" t="s">
        <v>187</v>
      </c>
      <c r="G211" s="117" t="s">
        <v>83</v>
      </c>
      <c r="H211" s="51"/>
    </row>
    <row r="212" spans="1:8" s="52" customFormat="1" x14ac:dyDescent="0.2">
      <c r="A212" s="504"/>
      <c r="B212" s="403">
        <v>0</v>
      </c>
      <c r="C212" s="400">
        <v>769816</v>
      </c>
      <c r="D212" s="400">
        <v>769816</v>
      </c>
      <c r="E212" s="216">
        <f t="shared" si="11"/>
        <v>100</v>
      </c>
      <c r="F212" s="115" t="s">
        <v>387</v>
      </c>
      <c r="G212" s="117" t="s">
        <v>83</v>
      </c>
      <c r="H212" s="51"/>
    </row>
    <row r="213" spans="1:8" s="52" customFormat="1" x14ac:dyDescent="0.2">
      <c r="A213" s="504"/>
      <c r="B213" s="403">
        <v>0</v>
      </c>
      <c r="C213" s="400">
        <v>327750</v>
      </c>
      <c r="D213" s="400">
        <v>327750</v>
      </c>
      <c r="E213" s="216">
        <f t="shared" si="11"/>
        <v>100</v>
      </c>
      <c r="F213" s="115" t="s">
        <v>192</v>
      </c>
      <c r="G213" s="117" t="s">
        <v>83</v>
      </c>
      <c r="H213" s="51"/>
    </row>
    <row r="214" spans="1:8" s="52" customFormat="1" x14ac:dyDescent="0.2">
      <c r="A214" s="504"/>
      <c r="B214" s="403">
        <v>0</v>
      </c>
      <c r="C214" s="400">
        <v>381351</v>
      </c>
      <c r="D214" s="400">
        <v>381351</v>
      </c>
      <c r="E214" s="216">
        <f t="shared" si="11"/>
        <v>100</v>
      </c>
      <c r="F214" s="115" t="s">
        <v>392</v>
      </c>
      <c r="G214" s="117" t="s">
        <v>83</v>
      </c>
      <c r="H214" s="51"/>
    </row>
    <row r="215" spans="1:8" s="52" customFormat="1" x14ac:dyDescent="0.2">
      <c r="A215" s="504"/>
      <c r="B215" s="403">
        <v>0</v>
      </c>
      <c r="C215" s="400">
        <v>1020485.05</v>
      </c>
      <c r="D215" s="400">
        <v>1020485.05</v>
      </c>
      <c r="E215" s="216">
        <f t="shared" si="11"/>
        <v>100</v>
      </c>
      <c r="F215" s="115" t="s">
        <v>193</v>
      </c>
      <c r="G215" s="117" t="s">
        <v>83</v>
      </c>
      <c r="H215" s="51"/>
    </row>
    <row r="216" spans="1:8" s="52" customFormat="1" x14ac:dyDescent="0.2">
      <c r="A216" s="504"/>
      <c r="B216" s="403">
        <v>622000</v>
      </c>
      <c r="C216" s="400">
        <v>649530</v>
      </c>
      <c r="D216" s="400">
        <v>649530</v>
      </c>
      <c r="E216" s="216">
        <f t="shared" si="11"/>
        <v>100</v>
      </c>
      <c r="F216" s="115" t="s">
        <v>388</v>
      </c>
      <c r="G216" s="117" t="s">
        <v>83</v>
      </c>
      <c r="H216" s="51"/>
    </row>
    <row r="217" spans="1:8" s="52" customFormat="1" x14ac:dyDescent="0.2">
      <c r="A217" s="504"/>
      <c r="B217" s="403">
        <v>0</v>
      </c>
      <c r="C217" s="400">
        <v>2269568.14</v>
      </c>
      <c r="D217" s="400">
        <v>2269568.14</v>
      </c>
      <c r="E217" s="216">
        <f t="shared" si="11"/>
        <v>100</v>
      </c>
      <c r="F217" s="115" t="s">
        <v>54</v>
      </c>
      <c r="G217" s="117" t="s">
        <v>83</v>
      </c>
      <c r="H217" s="51"/>
    </row>
    <row r="218" spans="1:8" s="52" customFormat="1" x14ac:dyDescent="0.2">
      <c r="A218" s="213"/>
      <c r="B218" s="403">
        <v>0</v>
      </c>
      <c r="C218" s="400">
        <v>2977558.63</v>
      </c>
      <c r="D218" s="400">
        <v>2977558.63</v>
      </c>
      <c r="E218" s="216">
        <f t="shared" si="11"/>
        <v>100</v>
      </c>
      <c r="F218" s="115" t="s">
        <v>62</v>
      </c>
      <c r="G218" s="117" t="s">
        <v>83</v>
      </c>
      <c r="H218" s="51"/>
    </row>
    <row r="219" spans="1:8" s="52" customFormat="1" x14ac:dyDescent="0.2">
      <c r="A219" s="503"/>
      <c r="B219" s="520">
        <v>0</v>
      </c>
      <c r="C219" s="554">
        <v>1441724.29</v>
      </c>
      <c r="D219" s="554">
        <v>1441724.29</v>
      </c>
      <c r="E219" s="475">
        <f t="shared" si="11"/>
        <v>100</v>
      </c>
      <c r="F219" s="115" t="s">
        <v>194</v>
      </c>
      <c r="G219" s="117" t="s">
        <v>83</v>
      </c>
      <c r="H219" s="51"/>
    </row>
    <row r="220" spans="1:8" s="52" customFormat="1" x14ac:dyDescent="0.2">
      <c r="A220" s="503"/>
      <c r="B220" s="520">
        <v>0</v>
      </c>
      <c r="C220" s="554">
        <v>1990850</v>
      </c>
      <c r="D220" s="554">
        <v>1990850</v>
      </c>
      <c r="E220" s="475">
        <f t="shared" si="11"/>
        <v>100</v>
      </c>
      <c r="F220" s="115" t="s">
        <v>85</v>
      </c>
      <c r="G220" s="117" t="s">
        <v>83</v>
      </c>
      <c r="H220" s="51"/>
    </row>
    <row r="221" spans="1:8" s="52" customFormat="1" x14ac:dyDescent="0.2">
      <c r="A221" s="503"/>
      <c r="B221" s="520">
        <v>0</v>
      </c>
      <c r="C221" s="554">
        <v>302500</v>
      </c>
      <c r="D221" s="554">
        <v>302500</v>
      </c>
      <c r="E221" s="475">
        <f t="shared" si="11"/>
        <v>100</v>
      </c>
      <c r="F221" s="115" t="s">
        <v>195</v>
      </c>
      <c r="G221" s="117" t="s">
        <v>83</v>
      </c>
      <c r="H221" s="51"/>
    </row>
    <row r="222" spans="1:8" s="52" customFormat="1" x14ac:dyDescent="0.2">
      <c r="A222" s="503"/>
      <c r="B222" s="520">
        <v>0</v>
      </c>
      <c r="C222" s="554">
        <v>3836484.33</v>
      </c>
      <c r="D222" s="554">
        <v>3836484.33</v>
      </c>
      <c r="E222" s="475">
        <f t="shared" si="11"/>
        <v>100</v>
      </c>
      <c r="F222" s="115" t="s">
        <v>63</v>
      </c>
      <c r="G222" s="117" t="s">
        <v>83</v>
      </c>
      <c r="H222" s="51"/>
    </row>
    <row r="223" spans="1:8" s="52" customFormat="1" ht="13.5" thickBot="1" x14ac:dyDescent="0.25">
      <c r="A223" s="401"/>
      <c r="B223" s="435">
        <v>0</v>
      </c>
      <c r="C223" s="402">
        <v>1639310.42</v>
      </c>
      <c r="D223" s="402">
        <v>1639310.42</v>
      </c>
      <c r="E223" s="221">
        <f t="shared" si="11"/>
        <v>100</v>
      </c>
      <c r="F223" s="115" t="s">
        <v>64</v>
      </c>
      <c r="G223" s="117" t="s">
        <v>83</v>
      </c>
      <c r="H223" s="51"/>
    </row>
    <row r="224" spans="1:8" s="52" customFormat="1" ht="13.5" thickTop="1" x14ac:dyDescent="0.2">
      <c r="A224" s="176"/>
      <c r="B224" s="177"/>
      <c r="C224" s="177"/>
      <c r="D224" s="177"/>
      <c r="E224" s="50"/>
      <c r="F224" s="115"/>
      <c r="G224" s="117"/>
      <c r="H224" s="51"/>
    </row>
    <row r="225" spans="1:12" s="52" customFormat="1" ht="15.75" thickBot="1" x14ac:dyDescent="0.3">
      <c r="A225" s="39" t="s">
        <v>93</v>
      </c>
      <c r="B225" s="32"/>
      <c r="C225" s="5"/>
      <c r="D225" s="5"/>
      <c r="E225" s="40" t="s">
        <v>18</v>
      </c>
      <c r="F225" s="5"/>
      <c r="G225" s="94"/>
      <c r="H225" s="51"/>
      <c r="I225" s="117"/>
      <c r="J225" s="122"/>
      <c r="K225" s="122"/>
      <c r="L225" s="122"/>
    </row>
    <row r="226" spans="1:12" s="52" customFormat="1" ht="14.25" thickTop="1" thickBot="1" x14ac:dyDescent="0.25">
      <c r="A226" s="41" t="s">
        <v>5</v>
      </c>
      <c r="B226" s="42" t="s">
        <v>0</v>
      </c>
      <c r="C226" s="43" t="s">
        <v>1</v>
      </c>
      <c r="D226" s="44" t="s">
        <v>4</v>
      </c>
      <c r="E226" s="45" t="s">
        <v>6</v>
      </c>
      <c r="F226" s="5"/>
      <c r="G226" s="94"/>
      <c r="H226" s="51"/>
      <c r="I226" s="117"/>
      <c r="J226" s="122"/>
      <c r="K226" s="122"/>
      <c r="L226" s="122"/>
    </row>
    <row r="227" spans="1:12" s="52" customFormat="1" ht="15.75" thickTop="1" x14ac:dyDescent="0.2">
      <c r="A227" s="46" t="s">
        <v>9</v>
      </c>
      <c r="B227" s="47">
        <f>SUM(B228:B228)</f>
        <v>0</v>
      </c>
      <c r="C227" s="47">
        <f>SUM(C228:C228)</f>
        <v>0</v>
      </c>
      <c r="D227" s="47">
        <f>SUM(D228:D228)</f>
        <v>0</v>
      </c>
      <c r="E227" s="76" t="e">
        <f>D227/C227*100</f>
        <v>#DIV/0!</v>
      </c>
      <c r="F227" s="77" t="s">
        <v>2</v>
      </c>
      <c r="G227" s="139" t="s">
        <v>34</v>
      </c>
      <c r="H227" s="51"/>
      <c r="I227" s="117"/>
      <c r="J227" s="122"/>
      <c r="K227" s="122"/>
      <c r="L227" s="122"/>
    </row>
    <row r="228" spans="1:12" s="52" customFormat="1" ht="13.5" thickBot="1" x14ac:dyDescent="0.25">
      <c r="A228" s="167" t="s">
        <v>150</v>
      </c>
      <c r="B228" s="129"/>
      <c r="C228" s="131"/>
      <c r="D228" s="129"/>
      <c r="E228" s="130" t="e">
        <f t="shared" ref="E228" si="12">D228/C228*100</f>
        <v>#DIV/0!</v>
      </c>
      <c r="F228" s="116"/>
      <c r="G228" s="95"/>
      <c r="H228" s="51"/>
      <c r="I228" s="123" t="s">
        <v>34</v>
      </c>
      <c r="J228" s="124">
        <f>B227</f>
        <v>0</v>
      </c>
      <c r="K228" s="124">
        <f>C227</f>
        <v>0</v>
      </c>
      <c r="L228" s="124">
        <f>D227</f>
        <v>0</v>
      </c>
    </row>
    <row r="229" spans="1:12" s="52" customFormat="1" ht="13.5" thickTop="1" x14ac:dyDescent="0.2">
      <c r="A229" s="176"/>
      <c r="B229" s="177"/>
      <c r="C229" s="177"/>
      <c r="D229" s="177"/>
      <c r="E229" s="50"/>
      <c r="F229" s="115"/>
      <c r="G229" s="117"/>
      <c r="H229" s="51"/>
      <c r="I229" s="135" t="s">
        <v>32</v>
      </c>
      <c r="J229" s="136">
        <f>SUM(B141:B184)</f>
        <v>73959000</v>
      </c>
      <c r="K229" s="136">
        <f>SUM(C141:C184)</f>
        <v>85458937.749999985</v>
      </c>
      <c r="L229" s="136">
        <f>SUM(D141:D184)</f>
        <v>54813516.879999988</v>
      </c>
    </row>
    <row r="230" spans="1:12" s="52" customFormat="1" x14ac:dyDescent="0.2">
      <c r="A230" s="176"/>
      <c r="B230" s="177"/>
      <c r="C230" s="177"/>
      <c r="D230" s="177"/>
      <c r="E230" s="50"/>
      <c r="F230" s="115"/>
      <c r="G230" s="117"/>
      <c r="H230" s="51"/>
      <c r="I230" s="117" t="s">
        <v>33</v>
      </c>
      <c r="J230" s="122">
        <f>SUM(B189:B223)</f>
        <v>7283000</v>
      </c>
      <c r="K230" s="122">
        <f t="shared" ref="K230:L230" si="13">SUM(C189:C223)</f>
        <v>38085709.410000004</v>
      </c>
      <c r="L230" s="122">
        <f t="shared" si="13"/>
        <v>38085709.410000004</v>
      </c>
    </row>
    <row r="231" spans="1:12" s="6" customFormat="1" ht="18.75" thickBot="1" x14ac:dyDescent="0.3">
      <c r="A231" s="60" t="s">
        <v>21</v>
      </c>
      <c r="B231" s="434">
        <f>SUM(B140,B188,B227)</f>
        <v>81242000</v>
      </c>
      <c r="C231" s="434">
        <f>SUM(C140,C188,C227)</f>
        <v>123544647.16</v>
      </c>
      <c r="D231" s="434">
        <f>SUM(D140,D188,D227)</f>
        <v>92899226.289999992</v>
      </c>
      <c r="E231" s="62">
        <f>D231/C231*100</f>
        <v>75.194861473591985</v>
      </c>
      <c r="F231" s="29"/>
      <c r="G231" s="63"/>
      <c r="H231" s="63"/>
      <c r="I231" s="139"/>
      <c r="J231" s="120">
        <f>J229+J230+J228</f>
        <v>81242000</v>
      </c>
      <c r="K231" s="120">
        <f t="shared" ref="K231:L231" si="14">K229+K230+K228</f>
        <v>123544647.16</v>
      </c>
      <c r="L231" s="120">
        <f t="shared" si="14"/>
        <v>92899226.289999992</v>
      </c>
    </row>
    <row r="232" spans="1:12" s="7" customFormat="1" ht="13.5" thickTop="1" x14ac:dyDescent="0.2">
      <c r="B232" s="436"/>
      <c r="E232" s="50"/>
      <c r="F232" s="80"/>
      <c r="G232" s="54"/>
      <c r="H232" s="54"/>
    </row>
    <row r="233" spans="1:12" s="7" customFormat="1" x14ac:dyDescent="0.2">
      <c r="B233" s="436"/>
      <c r="E233" s="50"/>
      <c r="F233" s="80"/>
      <c r="G233" s="54"/>
      <c r="H233" s="54"/>
    </row>
    <row r="234" spans="1:12" ht="15" customHeight="1" x14ac:dyDescent="0.25">
      <c r="A234" s="36" t="s">
        <v>45</v>
      </c>
      <c r="B234" s="32"/>
    </row>
    <row r="235" spans="1:12" ht="15" customHeight="1" thickBot="1" x14ac:dyDescent="0.3">
      <c r="A235" s="39" t="s">
        <v>67</v>
      </c>
      <c r="B235" s="32"/>
      <c r="E235" s="40" t="s">
        <v>18</v>
      </c>
    </row>
    <row r="236" spans="1:12" ht="14.25" thickTop="1" thickBot="1" x14ac:dyDescent="0.25">
      <c r="A236" s="41" t="s">
        <v>5</v>
      </c>
      <c r="B236" s="42" t="s">
        <v>0</v>
      </c>
      <c r="C236" s="43" t="s">
        <v>1</v>
      </c>
      <c r="D236" s="44" t="s">
        <v>4</v>
      </c>
      <c r="E236" s="45" t="s">
        <v>6</v>
      </c>
    </row>
    <row r="237" spans="1:12" ht="15.75" thickTop="1" x14ac:dyDescent="0.2">
      <c r="A237" s="147" t="s">
        <v>8</v>
      </c>
      <c r="B237" s="108">
        <f>SUM(B238:B249)</f>
        <v>57613000</v>
      </c>
      <c r="C237" s="108">
        <f>SUM(C238:C249)</f>
        <v>68190318.909999996</v>
      </c>
      <c r="D237" s="108">
        <f>SUM(D238:D249)</f>
        <v>55345182.93</v>
      </c>
      <c r="E237" s="148">
        <f>D237/C237*100</f>
        <v>81.162815799478125</v>
      </c>
      <c r="F237" s="37"/>
    </row>
    <row r="238" spans="1:12" ht="25.5" x14ac:dyDescent="0.2">
      <c r="A238" s="457" t="s">
        <v>466</v>
      </c>
      <c r="B238" s="453">
        <v>10000000</v>
      </c>
      <c r="C238" s="458">
        <v>9868000</v>
      </c>
      <c r="D238" s="458">
        <v>686146.75</v>
      </c>
      <c r="E238" s="454">
        <f t="shared" ref="E238:E249" si="15">D238/C238*100</f>
        <v>6.9532504053506274</v>
      </c>
      <c r="F238" s="83">
        <v>100633</v>
      </c>
      <c r="G238" s="112" t="s">
        <v>32</v>
      </c>
    </row>
    <row r="239" spans="1:12" s="35" customFormat="1" x14ac:dyDescent="0.2">
      <c r="A239" s="232" t="s">
        <v>467</v>
      </c>
      <c r="B239" s="405">
        <v>0</v>
      </c>
      <c r="C239" s="233">
        <v>972000</v>
      </c>
      <c r="D239" s="233">
        <v>885331.4</v>
      </c>
      <c r="E239" s="216">
        <f t="shared" si="15"/>
        <v>91.083477366255153</v>
      </c>
      <c r="F239" s="83">
        <v>100768</v>
      </c>
      <c r="G239" s="112" t="s">
        <v>32</v>
      </c>
      <c r="H239" s="30"/>
    </row>
    <row r="240" spans="1:12" s="35" customFormat="1" x14ac:dyDescent="0.2">
      <c r="A240" s="223" t="s">
        <v>142</v>
      </c>
      <c r="B240" s="214">
        <v>30000000</v>
      </c>
      <c r="C240" s="403">
        <v>42857987.909999996</v>
      </c>
      <c r="D240" s="403">
        <v>42619266.990000002</v>
      </c>
      <c r="E240" s="216">
        <f t="shared" si="15"/>
        <v>99.442995502958979</v>
      </c>
      <c r="F240" s="79">
        <v>101168</v>
      </c>
      <c r="G240" s="135" t="s">
        <v>32</v>
      </c>
      <c r="H240" s="30"/>
    </row>
    <row r="241" spans="1:8" s="35" customFormat="1" x14ac:dyDescent="0.2">
      <c r="A241" s="223" t="s">
        <v>277</v>
      </c>
      <c r="B241" s="214">
        <v>6527000</v>
      </c>
      <c r="C241" s="403">
        <v>527000</v>
      </c>
      <c r="D241" s="403">
        <v>0</v>
      </c>
      <c r="E241" s="216">
        <f t="shared" ref="E241:E248" si="16">D241/C241*100</f>
        <v>0</v>
      </c>
      <c r="F241" s="83">
        <v>101475</v>
      </c>
      <c r="G241" s="112" t="s">
        <v>32</v>
      </c>
      <c r="H241" s="30"/>
    </row>
    <row r="242" spans="1:8" s="35" customFormat="1" x14ac:dyDescent="0.2">
      <c r="A242" s="223" t="s">
        <v>162</v>
      </c>
      <c r="B242" s="214">
        <v>7086000</v>
      </c>
      <c r="C242" s="403">
        <v>6645726</v>
      </c>
      <c r="D242" s="403">
        <v>6236795.0499999998</v>
      </c>
      <c r="E242" s="216">
        <f t="shared" si="16"/>
        <v>93.846707643378608</v>
      </c>
      <c r="F242" s="83">
        <v>101497</v>
      </c>
      <c r="G242" s="112" t="s">
        <v>32</v>
      </c>
      <c r="H242" s="30"/>
    </row>
    <row r="243" spans="1:8" s="35" customFormat="1" x14ac:dyDescent="0.2">
      <c r="A243" s="223" t="s">
        <v>468</v>
      </c>
      <c r="B243" s="214">
        <v>3000000</v>
      </c>
      <c r="C243" s="403">
        <v>3000000</v>
      </c>
      <c r="D243" s="403">
        <v>1222705</v>
      </c>
      <c r="E243" s="216">
        <f t="shared" si="16"/>
        <v>40.756833333333333</v>
      </c>
      <c r="F243" s="83">
        <v>101498</v>
      </c>
      <c r="G243" s="112" t="s">
        <v>32</v>
      </c>
      <c r="H243" s="30"/>
    </row>
    <row r="244" spans="1:8" s="35" customFormat="1" x14ac:dyDescent="0.2">
      <c r="A244" s="223" t="s">
        <v>278</v>
      </c>
      <c r="B244" s="214">
        <v>1000000</v>
      </c>
      <c r="C244" s="403">
        <v>1132000</v>
      </c>
      <c r="D244" s="403">
        <v>1131108</v>
      </c>
      <c r="E244" s="216">
        <f t="shared" si="16"/>
        <v>99.921201413427568</v>
      </c>
      <c r="F244" s="83">
        <v>101516</v>
      </c>
      <c r="G244" s="112" t="s">
        <v>32</v>
      </c>
      <c r="H244" s="30"/>
    </row>
    <row r="245" spans="1:8" s="35" customFormat="1" x14ac:dyDescent="0.2">
      <c r="A245" s="223" t="s">
        <v>469</v>
      </c>
      <c r="B245" s="214">
        <v>0</v>
      </c>
      <c r="C245" s="403">
        <v>1851369</v>
      </c>
      <c r="D245" s="403">
        <v>1433382.88</v>
      </c>
      <c r="E245" s="216">
        <f t="shared" si="16"/>
        <v>77.422862757235308</v>
      </c>
      <c r="F245" s="83">
        <v>101592</v>
      </c>
      <c r="G245" s="112" t="s">
        <v>32</v>
      </c>
      <c r="H245" s="30"/>
    </row>
    <row r="246" spans="1:8" s="35" customFormat="1" ht="25.5" x14ac:dyDescent="0.2">
      <c r="A246" s="223" t="s">
        <v>470</v>
      </c>
      <c r="B246" s="214">
        <v>0</v>
      </c>
      <c r="C246" s="403">
        <v>36000</v>
      </c>
      <c r="D246" s="403">
        <v>35996.29</v>
      </c>
      <c r="E246" s="216">
        <f t="shared" si="16"/>
        <v>99.989694444444439</v>
      </c>
      <c r="F246" s="83">
        <v>101601</v>
      </c>
      <c r="G246" s="112" t="s">
        <v>32</v>
      </c>
      <c r="H246" s="30"/>
    </row>
    <row r="247" spans="1:8" s="35" customFormat="1" x14ac:dyDescent="0.2">
      <c r="A247" s="223" t="s">
        <v>471</v>
      </c>
      <c r="B247" s="214">
        <v>0</v>
      </c>
      <c r="C247" s="403">
        <v>1180000</v>
      </c>
      <c r="D247" s="403">
        <v>1071460.57</v>
      </c>
      <c r="E247" s="216">
        <f t="shared" si="16"/>
        <v>90.801743220338992</v>
      </c>
      <c r="F247" s="83">
        <v>101602</v>
      </c>
      <c r="G247" s="112" t="s">
        <v>32</v>
      </c>
      <c r="H247" s="30"/>
    </row>
    <row r="248" spans="1:8" s="35" customFormat="1" x14ac:dyDescent="0.2">
      <c r="A248" s="223" t="s">
        <v>472</v>
      </c>
      <c r="B248" s="214">
        <v>0</v>
      </c>
      <c r="C248" s="403">
        <v>120000</v>
      </c>
      <c r="D248" s="403">
        <v>22990</v>
      </c>
      <c r="E248" s="216">
        <f t="shared" si="16"/>
        <v>19.158333333333331</v>
      </c>
      <c r="F248" s="83">
        <v>101612</v>
      </c>
      <c r="G248" s="112" t="s">
        <v>32</v>
      </c>
      <c r="H248" s="30"/>
    </row>
    <row r="249" spans="1:8" s="35" customFormat="1" ht="13.5" thickBot="1" x14ac:dyDescent="0.25">
      <c r="A249" s="224" t="s">
        <v>473</v>
      </c>
      <c r="B249" s="399">
        <v>0</v>
      </c>
      <c r="C249" s="435">
        <v>236</v>
      </c>
      <c r="D249" s="435">
        <v>0</v>
      </c>
      <c r="E249" s="221">
        <f t="shared" si="15"/>
        <v>0</v>
      </c>
      <c r="F249" s="83">
        <v>101634</v>
      </c>
      <c r="G249" s="112" t="s">
        <v>32</v>
      </c>
      <c r="H249" s="30"/>
    </row>
    <row r="250" spans="1:8" ht="13.5" thickTop="1" x14ac:dyDescent="0.2">
      <c r="A250" s="64"/>
      <c r="B250" s="71"/>
      <c r="C250" s="67"/>
      <c r="D250" s="67"/>
      <c r="E250" s="50"/>
      <c r="F250" s="37"/>
      <c r="G250" s="112"/>
    </row>
    <row r="251" spans="1:8" ht="15" customHeight="1" thickBot="1" x14ac:dyDescent="0.25">
      <c r="A251" s="55" t="s">
        <v>29</v>
      </c>
      <c r="B251" s="32"/>
      <c r="E251" s="40" t="s">
        <v>18</v>
      </c>
    </row>
    <row r="252" spans="1:8" ht="14.25" thickTop="1" thickBot="1" x14ac:dyDescent="0.25">
      <c r="A252" s="41" t="s">
        <v>5</v>
      </c>
      <c r="B252" s="42" t="s">
        <v>0</v>
      </c>
      <c r="C252" s="43" t="s">
        <v>1</v>
      </c>
      <c r="D252" s="44" t="s">
        <v>4</v>
      </c>
      <c r="E252" s="45" t="s">
        <v>6</v>
      </c>
    </row>
    <row r="253" spans="1:8" ht="15.75" thickTop="1" x14ac:dyDescent="0.2">
      <c r="A253" s="147" t="s">
        <v>8</v>
      </c>
      <c r="B253" s="108">
        <f>SUM(B254:B266)</f>
        <v>5467000</v>
      </c>
      <c r="C253" s="108">
        <f t="shared" ref="C253:D253" si="17">SUM(C254:C266)</f>
        <v>24735515.039999999</v>
      </c>
      <c r="D253" s="108">
        <f t="shared" si="17"/>
        <v>24735515.039999999</v>
      </c>
      <c r="E253" s="148">
        <f>D253/C253*100</f>
        <v>100</v>
      </c>
      <c r="F253" s="37"/>
    </row>
    <row r="254" spans="1:8" s="52" customFormat="1" x14ac:dyDescent="0.2">
      <c r="A254" s="504" t="s">
        <v>250</v>
      </c>
      <c r="B254" s="403">
        <v>1598000</v>
      </c>
      <c r="C254" s="400">
        <v>0</v>
      </c>
      <c r="D254" s="400">
        <v>0</v>
      </c>
      <c r="E254" s="216">
        <v>0</v>
      </c>
      <c r="G254" s="117"/>
      <c r="H254" s="51"/>
    </row>
    <row r="255" spans="1:8" ht="14.25" customHeight="1" x14ac:dyDescent="0.2">
      <c r="A255" s="223"/>
      <c r="B255" s="233">
        <v>780000</v>
      </c>
      <c r="C255" s="233">
        <v>803137</v>
      </c>
      <c r="D255" s="233">
        <v>803137</v>
      </c>
      <c r="E255" s="454">
        <f t="shared" ref="E255:E266" si="18">D255/C255*100</f>
        <v>100</v>
      </c>
      <c r="F255" s="83">
        <v>1601</v>
      </c>
      <c r="G255" s="117" t="s">
        <v>86</v>
      </c>
    </row>
    <row r="256" spans="1:8" ht="14.25" customHeight="1" x14ac:dyDescent="0.2">
      <c r="A256" s="223"/>
      <c r="B256" s="233">
        <v>0</v>
      </c>
      <c r="C256" s="233">
        <v>1247826</v>
      </c>
      <c r="D256" s="233">
        <v>1247826</v>
      </c>
      <c r="E256" s="454">
        <f t="shared" si="18"/>
        <v>100</v>
      </c>
      <c r="F256" s="83">
        <v>1602</v>
      </c>
      <c r="G256" s="117" t="s">
        <v>86</v>
      </c>
    </row>
    <row r="257" spans="1:12" ht="14.25" customHeight="1" x14ac:dyDescent="0.2">
      <c r="A257" s="223"/>
      <c r="B257" s="233">
        <v>0</v>
      </c>
      <c r="C257" s="233">
        <v>554283</v>
      </c>
      <c r="D257" s="233">
        <v>554283</v>
      </c>
      <c r="E257" s="454">
        <f t="shared" ref="E257" si="19">D257/C257*100</f>
        <v>100</v>
      </c>
      <c r="F257" s="83">
        <v>1603</v>
      </c>
      <c r="G257" s="117" t="s">
        <v>86</v>
      </c>
    </row>
    <row r="258" spans="1:12" x14ac:dyDescent="0.2">
      <c r="A258" s="223"/>
      <c r="B258" s="233">
        <v>3089000</v>
      </c>
      <c r="C258" s="233">
        <v>3089000</v>
      </c>
      <c r="D258" s="233">
        <v>3089000</v>
      </c>
      <c r="E258" s="454">
        <f t="shared" si="18"/>
        <v>100</v>
      </c>
      <c r="F258" s="83">
        <v>1606</v>
      </c>
      <c r="G258" s="117" t="s">
        <v>86</v>
      </c>
    </row>
    <row r="259" spans="1:12" x14ac:dyDescent="0.2">
      <c r="A259" s="223"/>
      <c r="B259" s="233">
        <v>0</v>
      </c>
      <c r="C259" s="233">
        <v>1182000</v>
      </c>
      <c r="D259" s="233">
        <v>1182000</v>
      </c>
      <c r="E259" s="454">
        <f t="shared" si="18"/>
        <v>100</v>
      </c>
      <c r="F259" s="83">
        <v>1607</v>
      </c>
      <c r="G259" s="117" t="s">
        <v>86</v>
      </c>
    </row>
    <row r="260" spans="1:12" x14ac:dyDescent="0.2">
      <c r="A260" s="223"/>
      <c r="B260" s="233">
        <v>0</v>
      </c>
      <c r="C260" s="233">
        <v>1605742.25</v>
      </c>
      <c r="D260" s="233">
        <v>1605742.25</v>
      </c>
      <c r="E260" s="454">
        <f t="shared" si="18"/>
        <v>100</v>
      </c>
      <c r="F260" s="83">
        <v>1601</v>
      </c>
      <c r="G260" s="117" t="s">
        <v>87</v>
      </c>
    </row>
    <row r="261" spans="1:12" x14ac:dyDescent="0.2">
      <c r="A261" s="223"/>
      <c r="B261" s="233">
        <v>0</v>
      </c>
      <c r="C261" s="233">
        <v>3405892.79</v>
      </c>
      <c r="D261" s="233">
        <v>3405892.79</v>
      </c>
      <c r="E261" s="454">
        <f t="shared" si="18"/>
        <v>100</v>
      </c>
      <c r="F261" s="83">
        <v>1602</v>
      </c>
      <c r="G261" s="117" t="s">
        <v>87</v>
      </c>
    </row>
    <row r="262" spans="1:12" x14ac:dyDescent="0.2">
      <c r="A262" s="223"/>
      <c r="B262" s="233">
        <v>0</v>
      </c>
      <c r="C262" s="233">
        <v>8204000</v>
      </c>
      <c r="D262" s="233">
        <v>8204000</v>
      </c>
      <c r="E262" s="454">
        <f t="shared" si="18"/>
        <v>100</v>
      </c>
      <c r="F262" s="83">
        <v>1603</v>
      </c>
      <c r="G262" s="117" t="s">
        <v>87</v>
      </c>
    </row>
    <row r="263" spans="1:12" ht="12.75" customHeight="1" x14ac:dyDescent="0.2">
      <c r="A263" s="223"/>
      <c r="B263" s="233">
        <v>0</v>
      </c>
      <c r="C263" s="233">
        <v>1307286</v>
      </c>
      <c r="D263" s="233">
        <v>1307286</v>
      </c>
      <c r="E263" s="454">
        <f t="shared" si="18"/>
        <v>100</v>
      </c>
      <c r="F263" s="83">
        <v>1604</v>
      </c>
      <c r="G263" s="117" t="s">
        <v>87</v>
      </c>
    </row>
    <row r="264" spans="1:12" ht="12.75" customHeight="1" x14ac:dyDescent="0.2">
      <c r="A264" s="512"/>
      <c r="B264" s="477">
        <v>0</v>
      </c>
      <c r="C264" s="477">
        <v>172990</v>
      </c>
      <c r="D264" s="477">
        <v>172990</v>
      </c>
      <c r="E264" s="454">
        <f t="shared" si="18"/>
        <v>100</v>
      </c>
      <c r="F264" s="83">
        <v>1606</v>
      </c>
      <c r="G264" s="117" t="s">
        <v>87</v>
      </c>
    </row>
    <row r="265" spans="1:12" ht="12.75" customHeight="1" x14ac:dyDescent="0.2">
      <c r="A265" s="512"/>
      <c r="B265" s="477">
        <v>0</v>
      </c>
      <c r="C265" s="477">
        <v>712658</v>
      </c>
      <c r="D265" s="477">
        <v>712658</v>
      </c>
      <c r="E265" s="557">
        <f t="shared" si="18"/>
        <v>100</v>
      </c>
      <c r="F265" s="83">
        <v>1607</v>
      </c>
      <c r="G265" s="117" t="s">
        <v>87</v>
      </c>
    </row>
    <row r="266" spans="1:12" ht="12.75" customHeight="1" thickBot="1" x14ac:dyDescent="0.3">
      <c r="A266" s="224"/>
      <c r="B266" s="435">
        <v>0</v>
      </c>
      <c r="C266" s="435">
        <v>2450700</v>
      </c>
      <c r="D266" s="435">
        <v>2450700</v>
      </c>
      <c r="E266" s="221">
        <f t="shared" si="18"/>
        <v>100</v>
      </c>
      <c r="F266" s="79">
        <v>1608</v>
      </c>
      <c r="G266" s="117" t="s">
        <v>87</v>
      </c>
      <c r="I266" s="6"/>
    </row>
    <row r="267" spans="1:12" ht="13.5" thickTop="1" x14ac:dyDescent="0.2">
      <c r="A267" s="415"/>
      <c r="B267" s="67"/>
      <c r="C267" s="67"/>
      <c r="D267" s="67"/>
      <c r="E267" s="50"/>
      <c r="F267" s="83"/>
      <c r="G267" s="117"/>
    </row>
    <row r="268" spans="1:12" s="52" customFormat="1" ht="15.75" thickBot="1" x14ac:dyDescent="0.3">
      <c r="A268" s="39" t="s">
        <v>93</v>
      </c>
      <c r="B268" s="32"/>
      <c r="C268" s="5"/>
      <c r="D268" s="5"/>
      <c r="E268" s="40" t="s">
        <v>18</v>
      </c>
      <c r="F268" s="5"/>
      <c r="G268" s="94"/>
      <c r="H268" s="51"/>
      <c r="I268" s="117"/>
      <c r="J268" s="122"/>
      <c r="K268" s="122"/>
      <c r="L268" s="122"/>
    </row>
    <row r="269" spans="1:12" s="52" customFormat="1" ht="14.25" thickTop="1" thickBot="1" x14ac:dyDescent="0.25">
      <c r="A269" s="41" t="s">
        <v>5</v>
      </c>
      <c r="B269" s="42" t="s">
        <v>0</v>
      </c>
      <c r="C269" s="43" t="s">
        <v>1</v>
      </c>
      <c r="D269" s="44" t="s">
        <v>4</v>
      </c>
      <c r="E269" s="45" t="s">
        <v>6</v>
      </c>
      <c r="F269" s="5"/>
      <c r="G269" s="94"/>
      <c r="H269" s="51"/>
      <c r="I269" s="117"/>
      <c r="J269" s="122"/>
      <c r="K269" s="122"/>
      <c r="L269" s="122"/>
    </row>
    <row r="270" spans="1:12" s="52" customFormat="1" ht="15.75" thickTop="1" x14ac:dyDescent="0.2">
      <c r="A270" s="46" t="s">
        <v>8</v>
      </c>
      <c r="B270" s="47">
        <f>SUM(B271:B271)</f>
        <v>5300000</v>
      </c>
      <c r="C270" s="47">
        <f>SUM(C271:C271)</f>
        <v>5300000</v>
      </c>
      <c r="D270" s="47">
        <f>SUM(D271:D271)</f>
        <v>5223000</v>
      </c>
      <c r="E270" s="76">
        <f>D270/C270*100</f>
        <v>98.547169811320757</v>
      </c>
      <c r="F270" s="77" t="s">
        <v>2</v>
      </c>
      <c r="G270" s="139" t="s">
        <v>34</v>
      </c>
      <c r="H270" s="51"/>
      <c r="I270" s="117"/>
      <c r="J270" s="122"/>
      <c r="K270" s="122"/>
      <c r="L270" s="122"/>
    </row>
    <row r="271" spans="1:12" s="52" customFormat="1" ht="13.5" thickBot="1" x14ac:dyDescent="0.25">
      <c r="A271" s="167" t="s">
        <v>393</v>
      </c>
      <c r="B271" s="129">
        <v>5300000</v>
      </c>
      <c r="C271" s="131">
        <v>5300000</v>
      </c>
      <c r="D271" s="129">
        <v>5223000</v>
      </c>
      <c r="E271" s="130">
        <f t="shared" ref="E271" si="20">D271/C271*100</f>
        <v>98.547169811320757</v>
      </c>
      <c r="F271" s="116"/>
      <c r="G271" s="95"/>
      <c r="H271" s="51"/>
      <c r="I271" s="135" t="s">
        <v>32</v>
      </c>
      <c r="J271" s="136">
        <f>SUM(B238:B249)</f>
        <v>57613000</v>
      </c>
      <c r="K271" s="136">
        <f t="shared" ref="K271:L271" si="21">SUM(C238:C249)</f>
        <v>68190318.909999996</v>
      </c>
      <c r="L271" s="136">
        <f t="shared" si="21"/>
        <v>55345182.93</v>
      </c>
    </row>
    <row r="272" spans="1:12" ht="13.5" thickTop="1" x14ac:dyDescent="0.2">
      <c r="A272" s="415"/>
      <c r="B272" s="67"/>
      <c r="C272" s="67"/>
      <c r="D272" s="67"/>
      <c r="E272" s="50"/>
      <c r="F272" s="83"/>
      <c r="G272" s="117"/>
      <c r="I272" s="123" t="s">
        <v>34</v>
      </c>
      <c r="J272" s="124">
        <f>B271</f>
        <v>5300000</v>
      </c>
      <c r="K272" s="124">
        <f t="shared" ref="K272:L272" si="22">C271</f>
        <v>5300000</v>
      </c>
      <c r="L272" s="124">
        <f t="shared" si="22"/>
        <v>5223000</v>
      </c>
    </row>
    <row r="273" spans="1:12" s="7" customFormat="1" x14ac:dyDescent="0.2">
      <c r="B273" s="437"/>
      <c r="C273" s="90"/>
      <c r="D273" s="90"/>
      <c r="E273" s="50"/>
      <c r="F273" s="80"/>
      <c r="G273" s="54"/>
      <c r="I273" s="117" t="s">
        <v>33</v>
      </c>
      <c r="J273" s="160">
        <f>SUM(B254:B266)</f>
        <v>5467000</v>
      </c>
      <c r="K273" s="160">
        <f t="shared" ref="K273:L273" si="23">SUM(C254:C266)</f>
        <v>24735515.039999999</v>
      </c>
      <c r="L273" s="160">
        <f t="shared" si="23"/>
        <v>24735515.039999999</v>
      </c>
    </row>
    <row r="274" spans="1:12" s="6" customFormat="1" ht="18.75" thickBot="1" x14ac:dyDescent="0.3">
      <c r="A274" s="60" t="s">
        <v>22</v>
      </c>
      <c r="B274" s="434">
        <f>SUM(B253,B237,B270)</f>
        <v>68380000</v>
      </c>
      <c r="C274" s="434">
        <f>SUM(C253,C237,C270)</f>
        <v>98225833.949999988</v>
      </c>
      <c r="D274" s="434">
        <f>SUM(D253,D237,D270)</f>
        <v>85303697.969999999</v>
      </c>
      <c r="E274" s="62">
        <f>D274/C274*100</f>
        <v>86.844462947926957</v>
      </c>
      <c r="F274" s="102"/>
      <c r="G274" s="63"/>
      <c r="I274" s="139"/>
      <c r="J274" s="120">
        <f>J271+J273+J272</f>
        <v>68380000</v>
      </c>
      <c r="K274" s="120">
        <f t="shared" ref="K274:L274" si="24">K271+K273+K272</f>
        <v>98225833.949999988</v>
      </c>
      <c r="L274" s="120">
        <f t="shared" si="24"/>
        <v>85303697.969999999</v>
      </c>
    </row>
    <row r="275" spans="1:12" s="6" customFormat="1" ht="18.75" thickTop="1" x14ac:dyDescent="0.25">
      <c r="A275" s="143"/>
      <c r="B275" s="438"/>
      <c r="C275" s="144"/>
      <c r="D275" s="144"/>
      <c r="E275" s="145"/>
      <c r="F275" s="102"/>
      <c r="G275" s="63"/>
    </row>
    <row r="276" spans="1:12" s="7" customFormat="1" x14ac:dyDescent="0.2">
      <c r="B276" s="436"/>
      <c r="E276" s="50"/>
      <c r="F276" s="80"/>
      <c r="G276" s="54"/>
    </row>
    <row r="277" spans="1:12" ht="15" customHeight="1" x14ac:dyDescent="0.25">
      <c r="A277" s="36" t="s">
        <v>46</v>
      </c>
      <c r="B277" s="32"/>
    </row>
    <row r="278" spans="1:12" ht="15" customHeight="1" thickBot="1" x14ac:dyDescent="0.3">
      <c r="A278" s="39" t="s">
        <v>67</v>
      </c>
      <c r="B278" s="32"/>
      <c r="E278" s="40" t="s">
        <v>18</v>
      </c>
    </row>
    <row r="279" spans="1:12" ht="14.25" thickTop="1" thickBot="1" x14ac:dyDescent="0.25">
      <c r="A279" s="41" t="s">
        <v>5</v>
      </c>
      <c r="B279" s="42" t="s">
        <v>0</v>
      </c>
      <c r="C279" s="43" t="s">
        <v>1</v>
      </c>
      <c r="D279" s="44" t="s">
        <v>4</v>
      </c>
      <c r="E279" s="45" t="s">
        <v>6</v>
      </c>
    </row>
    <row r="280" spans="1:12" ht="15.75" thickTop="1" x14ac:dyDescent="0.25">
      <c r="A280" s="147" t="s">
        <v>11</v>
      </c>
      <c r="B280" s="440">
        <f>SUM(B281:B305)</f>
        <v>79416000</v>
      </c>
      <c r="C280" s="440">
        <f>SUM(C281:C305)</f>
        <v>67593000</v>
      </c>
      <c r="D280" s="440">
        <f>SUM(D281:D305)</f>
        <v>24723372.739999998</v>
      </c>
      <c r="E280" s="632">
        <f>D280/C280*100</f>
        <v>36.576824138594233</v>
      </c>
      <c r="F280" s="37"/>
      <c r="H280" s="96"/>
    </row>
    <row r="281" spans="1:12" x14ac:dyDescent="0.2">
      <c r="A281" s="459"/>
      <c r="B281" s="511">
        <v>500000</v>
      </c>
      <c r="C281" s="460">
        <v>445000</v>
      </c>
      <c r="D281" s="461">
        <v>0</v>
      </c>
      <c r="E281" s="462">
        <v>0</v>
      </c>
      <c r="F281" s="37"/>
      <c r="H281" s="96"/>
    </row>
    <row r="282" spans="1:12" s="187" customFormat="1" x14ac:dyDescent="0.2">
      <c r="A282" s="459" t="s">
        <v>73</v>
      </c>
      <c r="B282" s="511">
        <v>2391000</v>
      </c>
      <c r="C282" s="460">
        <v>2391000</v>
      </c>
      <c r="D282" s="461">
        <v>990990</v>
      </c>
      <c r="E282" s="462">
        <f t="shared" ref="E282" si="25">D282/C282*100</f>
        <v>41.446675031367633</v>
      </c>
      <c r="F282" s="182">
        <v>100029</v>
      </c>
      <c r="G282" s="183" t="s">
        <v>32</v>
      </c>
      <c r="H282" s="186"/>
    </row>
    <row r="283" spans="1:12" s="187" customFormat="1" x14ac:dyDescent="0.2">
      <c r="A283" s="228" t="s">
        <v>58</v>
      </c>
      <c r="B283" s="439">
        <v>2000000</v>
      </c>
      <c r="C283" s="226">
        <v>0</v>
      </c>
      <c r="D283" s="229">
        <v>0</v>
      </c>
      <c r="E283" s="227">
        <v>0</v>
      </c>
      <c r="F283" s="188">
        <v>100130</v>
      </c>
      <c r="G283" s="183" t="s">
        <v>32</v>
      </c>
      <c r="H283" s="186"/>
    </row>
    <row r="284" spans="1:12" s="187" customFormat="1" x14ac:dyDescent="0.2">
      <c r="A284" s="228" t="s">
        <v>75</v>
      </c>
      <c r="B284" s="439">
        <v>2500000</v>
      </c>
      <c r="C284" s="225">
        <v>2500000</v>
      </c>
      <c r="D284" s="229">
        <v>144005.5</v>
      </c>
      <c r="E284" s="227">
        <v>0</v>
      </c>
      <c r="F284" s="188">
        <v>100646</v>
      </c>
      <c r="G284" s="183" t="s">
        <v>32</v>
      </c>
      <c r="H284" s="186"/>
    </row>
    <row r="285" spans="1:12" s="187" customFormat="1" x14ac:dyDescent="0.2">
      <c r="A285" s="228" t="s">
        <v>40</v>
      </c>
      <c r="B285" s="439">
        <v>1863000</v>
      </c>
      <c r="C285" s="226">
        <v>1863000</v>
      </c>
      <c r="D285" s="229">
        <v>558415</v>
      </c>
      <c r="E285" s="227">
        <f t="shared" ref="E285:E294" si="26">D285/C285*100</f>
        <v>29.97396672034353</v>
      </c>
      <c r="F285" s="188">
        <v>100907</v>
      </c>
      <c r="G285" s="183" t="s">
        <v>32</v>
      </c>
      <c r="H285" s="186"/>
    </row>
    <row r="286" spans="1:12" s="187" customFormat="1" x14ac:dyDescent="0.2">
      <c r="A286" s="228" t="s">
        <v>279</v>
      </c>
      <c r="B286" s="439">
        <v>700000</v>
      </c>
      <c r="C286" s="226">
        <v>736792.52</v>
      </c>
      <c r="D286" s="229">
        <v>702558.71999999997</v>
      </c>
      <c r="E286" s="227">
        <f t="shared" si="26"/>
        <v>95.353671614364373</v>
      </c>
      <c r="F286" s="188">
        <v>100930</v>
      </c>
      <c r="G286" s="183" t="s">
        <v>32</v>
      </c>
      <c r="H286" s="186"/>
    </row>
    <row r="287" spans="1:12" s="187" customFormat="1" x14ac:dyDescent="0.2">
      <c r="A287" s="228" t="s">
        <v>47</v>
      </c>
      <c r="B287" s="439">
        <v>1491000</v>
      </c>
      <c r="C287" s="225">
        <v>1491000</v>
      </c>
      <c r="D287" s="229">
        <v>0</v>
      </c>
      <c r="E287" s="227">
        <f t="shared" si="26"/>
        <v>0</v>
      </c>
      <c r="F287" s="188">
        <v>100960</v>
      </c>
      <c r="G287" s="183" t="s">
        <v>32</v>
      </c>
    </row>
    <row r="288" spans="1:12" s="187" customFormat="1" x14ac:dyDescent="0.2">
      <c r="A288" s="228" t="s">
        <v>48</v>
      </c>
      <c r="B288" s="439">
        <v>1935000</v>
      </c>
      <c r="C288" s="225">
        <v>1935000</v>
      </c>
      <c r="D288" s="229">
        <v>328880.48</v>
      </c>
      <c r="E288" s="227">
        <f t="shared" si="26"/>
        <v>16.996407235142119</v>
      </c>
      <c r="F288" s="188">
        <v>100961</v>
      </c>
      <c r="G288" s="183" t="s">
        <v>32</v>
      </c>
    </row>
    <row r="289" spans="1:8" s="187" customFormat="1" x14ac:dyDescent="0.2">
      <c r="A289" s="228" t="s">
        <v>77</v>
      </c>
      <c r="B289" s="439">
        <v>2743000</v>
      </c>
      <c r="C289" s="225">
        <v>2743000</v>
      </c>
      <c r="D289" s="229">
        <v>342822</v>
      </c>
      <c r="E289" s="227">
        <f t="shared" si="26"/>
        <v>12.498067808968283</v>
      </c>
      <c r="F289" s="188">
        <v>101004</v>
      </c>
      <c r="G289" s="183" t="s">
        <v>32</v>
      </c>
    </row>
    <row r="290" spans="1:8" s="187" customFormat="1" x14ac:dyDescent="0.2">
      <c r="A290" s="228" t="s">
        <v>78</v>
      </c>
      <c r="B290" s="439">
        <v>12462000</v>
      </c>
      <c r="C290" s="225">
        <v>27672000</v>
      </c>
      <c r="D290" s="229">
        <v>15214900</v>
      </c>
      <c r="E290" s="227">
        <f t="shared" si="26"/>
        <v>54.983015322347498</v>
      </c>
      <c r="F290" s="188">
        <v>101007</v>
      </c>
      <c r="G290" s="183" t="s">
        <v>32</v>
      </c>
    </row>
    <row r="291" spans="1:8" s="187" customFormat="1" x14ac:dyDescent="0.2">
      <c r="A291" s="228" t="s">
        <v>474</v>
      </c>
      <c r="B291" s="439">
        <v>9219000</v>
      </c>
      <c r="C291" s="225">
        <v>9219000</v>
      </c>
      <c r="D291" s="229">
        <v>1607215</v>
      </c>
      <c r="E291" s="227">
        <f t="shared" si="26"/>
        <v>17.433723831218138</v>
      </c>
      <c r="F291" s="188">
        <v>101014</v>
      </c>
      <c r="G291" s="183" t="s">
        <v>32</v>
      </c>
    </row>
    <row r="292" spans="1:8" s="187" customFormat="1" x14ac:dyDescent="0.2">
      <c r="A292" s="228" t="s">
        <v>59</v>
      </c>
      <c r="B292" s="439">
        <v>509000</v>
      </c>
      <c r="C292" s="225">
        <v>509000</v>
      </c>
      <c r="D292" s="229">
        <v>372530</v>
      </c>
      <c r="E292" s="227">
        <f t="shared" si="26"/>
        <v>73.188605108055</v>
      </c>
      <c r="F292" s="188">
        <v>101081</v>
      </c>
      <c r="G292" s="183" t="s">
        <v>32</v>
      </c>
      <c r="H292" s="184"/>
    </row>
    <row r="293" spans="1:8" s="187" customFormat="1" x14ac:dyDescent="0.2">
      <c r="A293" s="228" t="s">
        <v>60</v>
      </c>
      <c r="B293" s="439">
        <v>1262000</v>
      </c>
      <c r="C293" s="225">
        <v>1262000</v>
      </c>
      <c r="D293" s="229">
        <v>0</v>
      </c>
      <c r="E293" s="227">
        <f t="shared" si="26"/>
        <v>0</v>
      </c>
      <c r="F293" s="188">
        <v>101083</v>
      </c>
      <c r="G293" s="183" t="s">
        <v>32</v>
      </c>
      <c r="H293" s="184"/>
    </row>
    <row r="294" spans="1:8" s="187" customFormat="1" x14ac:dyDescent="0.2">
      <c r="A294" s="505" t="s">
        <v>127</v>
      </c>
      <c r="B294" s="477">
        <v>0</v>
      </c>
      <c r="C294" s="514">
        <v>1883000</v>
      </c>
      <c r="D294" s="515">
        <v>565554</v>
      </c>
      <c r="E294" s="227">
        <f t="shared" si="26"/>
        <v>30.034731810939991</v>
      </c>
      <c r="F294" s="188">
        <v>101443</v>
      </c>
      <c r="G294" s="183" t="s">
        <v>32</v>
      </c>
      <c r="H294" s="184"/>
    </row>
    <row r="295" spans="1:8" s="187" customFormat="1" ht="25.5" x14ac:dyDescent="0.2">
      <c r="A295" s="505" t="s">
        <v>143</v>
      </c>
      <c r="B295" s="520">
        <v>586000</v>
      </c>
      <c r="C295" s="515">
        <v>0</v>
      </c>
      <c r="D295" s="515">
        <v>0</v>
      </c>
      <c r="E295" s="227">
        <v>0</v>
      </c>
      <c r="F295" s="188">
        <v>101444</v>
      </c>
      <c r="G295" s="183" t="s">
        <v>32</v>
      </c>
      <c r="H295" s="184"/>
    </row>
    <row r="296" spans="1:8" s="187" customFormat="1" x14ac:dyDescent="0.2">
      <c r="A296" s="505" t="s">
        <v>170</v>
      </c>
      <c r="B296" s="520">
        <v>0</v>
      </c>
      <c r="C296" s="515">
        <v>18207.48</v>
      </c>
      <c r="D296" s="515">
        <v>18207.48</v>
      </c>
      <c r="E296" s="227">
        <v>0</v>
      </c>
      <c r="F296" s="188">
        <v>101449</v>
      </c>
      <c r="G296" s="183" t="s">
        <v>32</v>
      </c>
      <c r="H296" s="184"/>
    </row>
    <row r="297" spans="1:8" s="187" customFormat="1" x14ac:dyDescent="0.2">
      <c r="A297" s="505" t="s">
        <v>475</v>
      </c>
      <c r="B297" s="520">
        <v>1572000</v>
      </c>
      <c r="C297" s="515">
        <v>0</v>
      </c>
      <c r="D297" s="515">
        <v>0</v>
      </c>
      <c r="E297" s="227">
        <v>0</v>
      </c>
      <c r="F297" s="188">
        <v>101456</v>
      </c>
      <c r="G297" s="183" t="s">
        <v>32</v>
      </c>
      <c r="H297" s="184"/>
    </row>
    <row r="298" spans="1:8" s="187" customFormat="1" x14ac:dyDescent="0.2">
      <c r="A298" s="505" t="s">
        <v>476</v>
      </c>
      <c r="B298" s="520">
        <v>1500000</v>
      </c>
      <c r="C298" s="515">
        <v>1540000</v>
      </c>
      <c r="D298" s="515">
        <v>1537111.4</v>
      </c>
      <c r="E298" s="227">
        <v>0</v>
      </c>
      <c r="F298" s="188">
        <v>101459</v>
      </c>
      <c r="G298" s="183" t="s">
        <v>32</v>
      </c>
      <c r="H298" s="184"/>
    </row>
    <row r="299" spans="1:8" s="187" customFormat="1" x14ac:dyDescent="0.2">
      <c r="A299" s="505" t="s">
        <v>196</v>
      </c>
      <c r="B299" s="520">
        <v>23548000</v>
      </c>
      <c r="C299" s="515">
        <v>0</v>
      </c>
      <c r="D299" s="515">
        <v>0</v>
      </c>
      <c r="E299" s="227">
        <v>0</v>
      </c>
      <c r="F299" s="188">
        <v>101460</v>
      </c>
      <c r="G299" s="183" t="s">
        <v>32</v>
      </c>
      <c r="H299" s="184"/>
    </row>
    <row r="300" spans="1:8" s="187" customFormat="1" x14ac:dyDescent="0.2">
      <c r="A300" s="505" t="s">
        <v>144</v>
      </c>
      <c r="B300" s="520">
        <v>4248000</v>
      </c>
      <c r="C300" s="515">
        <v>4248000</v>
      </c>
      <c r="D300" s="515">
        <v>752666.46</v>
      </c>
      <c r="E300" s="227">
        <f t="shared" ref="E300:E304" si="27">D300/C300*100</f>
        <v>17.718137005649716</v>
      </c>
      <c r="F300" s="188">
        <v>101481</v>
      </c>
      <c r="G300" s="183" t="s">
        <v>32</v>
      </c>
      <c r="H300" s="184"/>
    </row>
    <row r="301" spans="1:8" s="187" customFormat="1" x14ac:dyDescent="0.2">
      <c r="A301" s="505" t="s">
        <v>280</v>
      </c>
      <c r="B301" s="477">
        <v>666000</v>
      </c>
      <c r="C301" s="514">
        <v>666000</v>
      </c>
      <c r="D301" s="515">
        <v>67760</v>
      </c>
      <c r="E301" s="227">
        <f t="shared" si="27"/>
        <v>10.174174174174174</v>
      </c>
      <c r="F301" s="188">
        <v>101517</v>
      </c>
      <c r="G301" s="183" t="s">
        <v>32</v>
      </c>
      <c r="H301" s="184"/>
    </row>
    <row r="302" spans="1:8" s="187" customFormat="1" ht="25.5" x14ac:dyDescent="0.2">
      <c r="A302" s="505" t="s">
        <v>281</v>
      </c>
      <c r="B302" s="520">
        <v>3146000</v>
      </c>
      <c r="C302" s="515">
        <v>3146000</v>
      </c>
      <c r="D302" s="515">
        <v>1519756.7</v>
      </c>
      <c r="E302" s="227">
        <f t="shared" si="27"/>
        <v>48.307587412587409</v>
      </c>
      <c r="F302" s="188">
        <v>101526</v>
      </c>
      <c r="G302" s="183" t="s">
        <v>32</v>
      </c>
      <c r="H302" s="184"/>
    </row>
    <row r="303" spans="1:8" s="187" customFormat="1" x14ac:dyDescent="0.2">
      <c r="A303" s="505" t="s">
        <v>144</v>
      </c>
      <c r="B303" s="477">
        <v>3025000</v>
      </c>
      <c r="C303" s="514">
        <v>3025000</v>
      </c>
      <c r="D303" s="515">
        <v>0</v>
      </c>
      <c r="E303" s="227">
        <f t="shared" si="27"/>
        <v>0</v>
      </c>
      <c r="F303" s="188">
        <v>101532</v>
      </c>
      <c r="G303" s="183" t="s">
        <v>32</v>
      </c>
      <c r="H303" s="184"/>
    </row>
    <row r="304" spans="1:8" s="187" customFormat="1" x14ac:dyDescent="0.2">
      <c r="A304" s="505" t="s">
        <v>477</v>
      </c>
      <c r="B304" s="477">
        <v>300000</v>
      </c>
      <c r="C304" s="514">
        <v>300000</v>
      </c>
      <c r="D304" s="515">
        <v>0</v>
      </c>
      <c r="E304" s="227">
        <f t="shared" si="27"/>
        <v>0</v>
      </c>
      <c r="F304" s="188">
        <v>101575</v>
      </c>
      <c r="G304" s="183" t="s">
        <v>32</v>
      </c>
      <c r="H304" s="184"/>
    </row>
    <row r="305" spans="1:12" s="187" customFormat="1" ht="13.5" thickBot="1" x14ac:dyDescent="0.25">
      <c r="A305" s="230" t="s">
        <v>478</v>
      </c>
      <c r="B305" s="404">
        <v>1250000</v>
      </c>
      <c r="C305" s="506">
        <v>0</v>
      </c>
      <c r="D305" s="507">
        <v>0</v>
      </c>
      <c r="E305" s="231">
        <v>0</v>
      </c>
      <c r="F305" s="182">
        <v>101576</v>
      </c>
      <c r="G305" s="183" t="s">
        <v>32</v>
      </c>
      <c r="H305" s="184"/>
    </row>
    <row r="306" spans="1:12" s="194" customFormat="1" ht="13.5" thickTop="1" x14ac:dyDescent="0.2">
      <c r="B306" s="436"/>
      <c r="E306" s="195"/>
      <c r="F306" s="196"/>
      <c r="G306" s="197"/>
      <c r="H306" s="197"/>
    </row>
    <row r="307" spans="1:12" s="194" customFormat="1" ht="15.75" thickBot="1" x14ac:dyDescent="0.25">
      <c r="A307" s="198" t="s">
        <v>479</v>
      </c>
      <c r="B307" s="32"/>
      <c r="C307" s="185"/>
      <c r="D307" s="185"/>
      <c r="E307" s="199" t="s">
        <v>18</v>
      </c>
      <c r="F307" s="196"/>
      <c r="G307" s="197"/>
      <c r="H307" s="197"/>
    </row>
    <row r="308" spans="1:12" s="194" customFormat="1" ht="14.25" thickTop="1" thickBot="1" x14ac:dyDescent="0.25">
      <c r="A308" s="189" t="s">
        <v>5</v>
      </c>
      <c r="B308" s="42" t="s">
        <v>0</v>
      </c>
      <c r="C308" s="191" t="s">
        <v>1</v>
      </c>
      <c r="D308" s="192" t="s">
        <v>4</v>
      </c>
      <c r="E308" s="193" t="s">
        <v>6</v>
      </c>
      <c r="F308" s="196"/>
      <c r="G308" s="197"/>
      <c r="H308" s="197"/>
    </row>
    <row r="309" spans="1:12" s="194" customFormat="1" ht="15.75" thickTop="1" x14ac:dyDescent="0.2">
      <c r="A309" s="200" t="s">
        <v>11</v>
      </c>
      <c r="B309" s="440">
        <f>SUM(B310:B313)</f>
        <v>233486000</v>
      </c>
      <c r="C309" s="440">
        <f t="shared" ref="C309:D309" si="28">SUM(C310:C313)</f>
        <v>277185393.48000002</v>
      </c>
      <c r="D309" s="440">
        <f t="shared" si="28"/>
        <v>277185393.48000002</v>
      </c>
      <c r="E309" s="201">
        <f t="shared" ref="E309:E313" si="29">D309/C309*100</f>
        <v>100</v>
      </c>
      <c r="F309" s="196"/>
      <c r="G309" s="197"/>
      <c r="H309" s="197"/>
    </row>
    <row r="310" spans="1:12" s="52" customFormat="1" x14ac:dyDescent="0.2">
      <c r="A310" s="504" t="s">
        <v>250</v>
      </c>
      <c r="B310" s="403">
        <v>5436000</v>
      </c>
      <c r="C310" s="400">
        <v>0</v>
      </c>
      <c r="D310" s="400">
        <v>0</v>
      </c>
      <c r="E310" s="216">
        <v>0</v>
      </c>
      <c r="G310" s="117"/>
      <c r="H310" s="51"/>
    </row>
    <row r="311" spans="1:12" s="52" customFormat="1" x14ac:dyDescent="0.2">
      <c r="A311" s="504" t="s">
        <v>402</v>
      </c>
      <c r="B311" s="520">
        <v>5500000</v>
      </c>
      <c r="C311" s="554">
        <v>0</v>
      </c>
      <c r="D311" s="554">
        <v>0</v>
      </c>
      <c r="E311" s="216">
        <v>0</v>
      </c>
      <c r="G311" s="117"/>
      <c r="H311" s="51"/>
    </row>
    <row r="312" spans="1:12" s="52" customFormat="1" x14ac:dyDescent="0.2">
      <c r="A312" s="504"/>
      <c r="B312" s="520">
        <v>0</v>
      </c>
      <c r="C312" s="554">
        <v>700000</v>
      </c>
      <c r="D312" s="554">
        <v>700000</v>
      </c>
      <c r="E312" s="227">
        <f>D312/C312*100</f>
        <v>100</v>
      </c>
      <c r="F312" s="203" t="s">
        <v>43</v>
      </c>
      <c r="G312" s="202" t="s">
        <v>251</v>
      </c>
      <c r="H312" s="51"/>
    </row>
    <row r="313" spans="1:12" s="194" customFormat="1" ht="13.5" thickBot="1" x14ac:dyDescent="0.25">
      <c r="A313" s="585" t="s">
        <v>109</v>
      </c>
      <c r="B313" s="399">
        <v>222550000</v>
      </c>
      <c r="C313" s="517">
        <v>276485393.48000002</v>
      </c>
      <c r="D313" s="517">
        <v>276485393.48000002</v>
      </c>
      <c r="E313" s="231">
        <f t="shared" si="29"/>
        <v>100</v>
      </c>
      <c r="F313" s="203" t="s">
        <v>43</v>
      </c>
      <c r="G313" s="202" t="s">
        <v>252</v>
      </c>
    </row>
    <row r="314" spans="1:12" s="194" customFormat="1" ht="13.5" thickTop="1" x14ac:dyDescent="0.2">
      <c r="E314" s="195"/>
      <c r="F314" s="203"/>
      <c r="G314" s="202"/>
      <c r="H314" s="197"/>
    </row>
    <row r="315" spans="1:12" s="185" customFormat="1" ht="15" customHeight="1" thickBot="1" x14ac:dyDescent="0.3">
      <c r="A315" s="204" t="s">
        <v>93</v>
      </c>
      <c r="E315" s="205" t="s">
        <v>18</v>
      </c>
      <c r="G315" s="206"/>
      <c r="H315" s="207"/>
    </row>
    <row r="316" spans="1:12" s="185" customFormat="1" ht="18" customHeight="1" thickTop="1" thickBot="1" x14ac:dyDescent="0.25">
      <c r="A316" s="189" t="s">
        <v>5</v>
      </c>
      <c r="B316" s="190" t="s">
        <v>0</v>
      </c>
      <c r="C316" s="191" t="s">
        <v>1</v>
      </c>
      <c r="D316" s="192" t="s">
        <v>4</v>
      </c>
      <c r="E316" s="193" t="s">
        <v>6</v>
      </c>
      <c r="G316" s="206"/>
    </row>
    <row r="317" spans="1:12" s="185" customFormat="1" ht="15.75" thickTop="1" x14ac:dyDescent="0.2">
      <c r="A317" s="208" t="s">
        <v>11</v>
      </c>
      <c r="B317" s="209">
        <f>SUM(B318:B318)</f>
        <v>4577000</v>
      </c>
      <c r="C317" s="209">
        <f>SUM(C318:C318)</f>
        <v>4616000</v>
      </c>
      <c r="D317" s="209">
        <f>SUM(D318:D318)</f>
        <v>1377083.0999999999</v>
      </c>
      <c r="E317" s="210">
        <f>D317/C317*100</f>
        <v>29.832822790294621</v>
      </c>
      <c r="F317" s="211" t="s">
        <v>2</v>
      </c>
      <c r="G317" s="212" t="s">
        <v>34</v>
      </c>
    </row>
    <row r="318" spans="1:12" s="78" customFormat="1" ht="13.5" thickBot="1" x14ac:dyDescent="0.25">
      <c r="A318" s="170" t="s">
        <v>36</v>
      </c>
      <c r="B318" s="129">
        <f>1135000+3442000</f>
        <v>4577000</v>
      </c>
      <c r="C318" s="133">
        <f>1124000+3492000</f>
        <v>4616000</v>
      </c>
      <c r="D318" s="133">
        <f>1072925.4+304157.7</f>
        <v>1377083.0999999999</v>
      </c>
      <c r="E318" s="130">
        <f>D318/C318*100</f>
        <v>29.832822790294621</v>
      </c>
      <c r="F318" s="116" t="s">
        <v>65</v>
      </c>
      <c r="G318" s="95"/>
      <c r="I318" s="112" t="s">
        <v>32</v>
      </c>
      <c r="J318" s="121">
        <f>SUM(B281:B305)</f>
        <v>79416000</v>
      </c>
      <c r="K318" s="121">
        <f t="shared" ref="K318:L318" si="30">SUM(C281:C305)</f>
        <v>67593000</v>
      </c>
      <c r="L318" s="121">
        <f t="shared" si="30"/>
        <v>24723372.739999998</v>
      </c>
    </row>
    <row r="319" spans="1:12" s="7" customFormat="1" ht="13.5" thickTop="1" x14ac:dyDescent="0.2">
      <c r="E319" s="50"/>
      <c r="F319" s="80"/>
      <c r="G319" s="54"/>
      <c r="I319" s="117" t="s">
        <v>33</v>
      </c>
      <c r="J319" s="160">
        <f>SUM(B310:B313)</f>
        <v>233486000</v>
      </c>
      <c r="K319" s="160">
        <f t="shared" ref="K319:L319" si="31">SUM(C310:C313)</f>
        <v>277185393.48000002</v>
      </c>
      <c r="L319" s="160">
        <f t="shared" si="31"/>
        <v>277185393.48000002</v>
      </c>
    </row>
    <row r="320" spans="1:12" s="7" customFormat="1" x14ac:dyDescent="0.2">
      <c r="E320" s="50"/>
      <c r="F320" s="80"/>
      <c r="G320" s="54"/>
      <c r="I320" s="212" t="s">
        <v>34</v>
      </c>
      <c r="J320" s="478">
        <f>B318</f>
        <v>4577000</v>
      </c>
      <c r="K320" s="478">
        <f>C318</f>
        <v>4616000</v>
      </c>
      <c r="L320" s="478">
        <f>D318</f>
        <v>1377083.0999999999</v>
      </c>
    </row>
    <row r="321" spans="1:12" s="6" customFormat="1" ht="18.75" thickBot="1" x14ac:dyDescent="0.3">
      <c r="A321" s="60" t="s">
        <v>24</v>
      </c>
      <c r="B321" s="61">
        <f>SUM(B280,B309,B317)</f>
        <v>317479000</v>
      </c>
      <c r="C321" s="61">
        <f>SUM(C280,C309,C317)</f>
        <v>349394393.48000002</v>
      </c>
      <c r="D321" s="61">
        <f>SUM(D280,D309,D317)</f>
        <v>303285849.32000005</v>
      </c>
      <c r="E321" s="62">
        <f>D321/C321*100</f>
        <v>86.803295925628717</v>
      </c>
      <c r="F321" s="101"/>
      <c r="G321" s="63"/>
      <c r="I321" s="112"/>
      <c r="J321" s="159">
        <f>SUM(J318:J320)</f>
        <v>317479000</v>
      </c>
      <c r="K321" s="159">
        <f>SUM(K318:K320)</f>
        <v>349394393.48000002</v>
      </c>
      <c r="L321" s="159">
        <f>SUM(L318:L320)</f>
        <v>303285849.32000005</v>
      </c>
    </row>
    <row r="322" spans="1:12" s="7" customFormat="1" ht="13.5" thickTop="1" x14ac:dyDescent="0.2">
      <c r="E322" s="50"/>
      <c r="F322" s="80"/>
      <c r="G322" s="54"/>
      <c r="H322" s="54"/>
    </row>
    <row r="323" spans="1:12" s="7" customFormat="1" x14ac:dyDescent="0.2">
      <c r="E323" s="50"/>
      <c r="F323" s="80"/>
      <c r="G323" s="54"/>
    </row>
    <row r="324" spans="1:12" s="7" customFormat="1" x14ac:dyDescent="0.2">
      <c r="E324" s="50"/>
      <c r="F324" s="80"/>
      <c r="G324" s="54"/>
    </row>
    <row r="325" spans="1:12" ht="15" customHeight="1" x14ac:dyDescent="0.25">
      <c r="A325" s="36" t="s">
        <v>30</v>
      </c>
    </row>
    <row r="326" spans="1:12" ht="15" customHeight="1" thickBot="1" x14ac:dyDescent="0.3">
      <c r="A326" s="39" t="s">
        <v>67</v>
      </c>
      <c r="E326" s="40" t="s">
        <v>18</v>
      </c>
    </row>
    <row r="327" spans="1:12" ht="14.25" thickTop="1" thickBot="1" x14ac:dyDescent="0.25">
      <c r="A327" s="41" t="s">
        <v>5</v>
      </c>
      <c r="B327" s="42" t="s">
        <v>0</v>
      </c>
      <c r="C327" s="43" t="s">
        <v>1</v>
      </c>
      <c r="D327" s="44" t="s">
        <v>4</v>
      </c>
      <c r="E327" s="45" t="s">
        <v>6</v>
      </c>
    </row>
    <row r="328" spans="1:12" ht="15.75" thickTop="1" x14ac:dyDescent="0.2">
      <c r="A328" s="46" t="s">
        <v>10</v>
      </c>
      <c r="B328" s="66">
        <f>SUM(B329:B347)</f>
        <v>35735000</v>
      </c>
      <c r="C328" s="66">
        <f>SUM(C329:C347)</f>
        <v>19023000</v>
      </c>
      <c r="D328" s="66">
        <f>SUM(D329:D347)</f>
        <v>10172286</v>
      </c>
      <c r="E328" s="76">
        <f t="shared" ref="E328:E347" si="32">D328/C328*100</f>
        <v>53.473616148872416</v>
      </c>
      <c r="F328" s="37"/>
    </row>
    <row r="329" spans="1:12" s="93" customFormat="1" x14ac:dyDescent="0.2">
      <c r="A329" s="218" t="s">
        <v>163</v>
      </c>
      <c r="B329" s="222">
        <v>10423000</v>
      </c>
      <c r="C329" s="222">
        <v>1423000</v>
      </c>
      <c r="D329" s="222">
        <v>575310</v>
      </c>
      <c r="E329" s="216">
        <f t="shared" si="32"/>
        <v>40.429374560787068</v>
      </c>
      <c r="F329" s="134">
        <v>101184</v>
      </c>
      <c r="G329" s="135" t="s">
        <v>32</v>
      </c>
      <c r="H329" s="92"/>
    </row>
    <row r="330" spans="1:12" s="93" customFormat="1" x14ac:dyDescent="0.2">
      <c r="A330" s="218" t="s">
        <v>79</v>
      </c>
      <c r="B330" s="222">
        <v>73000</v>
      </c>
      <c r="C330" s="222">
        <v>398090</v>
      </c>
      <c r="D330" s="222">
        <v>0</v>
      </c>
      <c r="E330" s="216">
        <f t="shared" si="32"/>
        <v>0</v>
      </c>
      <c r="F330" s="134">
        <v>101186</v>
      </c>
      <c r="G330" s="135" t="s">
        <v>32</v>
      </c>
      <c r="H330" s="92"/>
    </row>
    <row r="331" spans="1:12" s="93" customFormat="1" x14ac:dyDescent="0.2">
      <c r="A331" s="218" t="s">
        <v>282</v>
      </c>
      <c r="B331" s="222">
        <v>0</v>
      </c>
      <c r="C331" s="222">
        <v>586000</v>
      </c>
      <c r="D331" s="222">
        <v>0</v>
      </c>
      <c r="E331" s="216">
        <f t="shared" si="32"/>
        <v>0</v>
      </c>
      <c r="F331" s="134">
        <v>101236</v>
      </c>
      <c r="G331" s="135" t="s">
        <v>32</v>
      </c>
      <c r="H331" s="92"/>
    </row>
    <row r="332" spans="1:12" s="93" customFormat="1" x14ac:dyDescent="0.2">
      <c r="A332" s="218" t="s">
        <v>283</v>
      </c>
      <c r="B332" s="222">
        <v>10000000</v>
      </c>
      <c r="C332" s="222">
        <v>0</v>
      </c>
      <c r="D332" s="222">
        <v>0</v>
      </c>
      <c r="E332" s="216">
        <v>0</v>
      </c>
      <c r="F332" s="134">
        <v>101314</v>
      </c>
      <c r="G332" s="135" t="s">
        <v>32</v>
      </c>
      <c r="H332" s="92"/>
    </row>
    <row r="333" spans="1:12" s="93" customFormat="1" x14ac:dyDescent="0.2">
      <c r="A333" s="218" t="s">
        <v>171</v>
      </c>
      <c r="B333" s="214">
        <v>5866000</v>
      </c>
      <c r="C333" s="214">
        <v>5866000</v>
      </c>
      <c r="D333" s="214">
        <v>4222124.71</v>
      </c>
      <c r="E333" s="216">
        <f t="shared" si="32"/>
        <v>71.976213944766457</v>
      </c>
      <c r="F333" s="134">
        <v>101324</v>
      </c>
      <c r="G333" s="112" t="s">
        <v>32</v>
      </c>
      <c r="H333" s="175"/>
    </row>
    <row r="334" spans="1:12" s="93" customFormat="1" x14ac:dyDescent="0.2">
      <c r="A334" s="473" t="s">
        <v>480</v>
      </c>
      <c r="B334" s="474">
        <v>40000</v>
      </c>
      <c r="C334" s="474">
        <v>40000</v>
      </c>
      <c r="D334" s="474">
        <v>34272</v>
      </c>
      <c r="E334" s="475">
        <f t="shared" si="32"/>
        <v>85.68</v>
      </c>
      <c r="F334" s="134">
        <v>101329</v>
      </c>
      <c r="G334" s="112" t="s">
        <v>365</v>
      </c>
      <c r="H334" s="175"/>
    </row>
    <row r="335" spans="1:12" s="93" customFormat="1" x14ac:dyDescent="0.2">
      <c r="A335" s="473" t="s">
        <v>164</v>
      </c>
      <c r="B335" s="474">
        <v>2260000</v>
      </c>
      <c r="C335" s="474">
        <v>1934910</v>
      </c>
      <c r="D335" s="474">
        <v>384780</v>
      </c>
      <c r="E335" s="475">
        <f t="shared" si="32"/>
        <v>19.886196257190257</v>
      </c>
      <c r="F335" s="134">
        <v>101457</v>
      </c>
      <c r="G335" s="112" t="s">
        <v>32</v>
      </c>
      <c r="H335" s="175"/>
    </row>
    <row r="336" spans="1:12" s="93" customFormat="1" x14ac:dyDescent="0.2">
      <c r="A336" s="473" t="s">
        <v>165</v>
      </c>
      <c r="B336" s="474">
        <v>146000</v>
      </c>
      <c r="C336" s="474">
        <v>46000</v>
      </c>
      <c r="D336" s="474">
        <v>0</v>
      </c>
      <c r="E336" s="475">
        <f t="shared" si="32"/>
        <v>0</v>
      </c>
      <c r="F336" s="134">
        <v>101482</v>
      </c>
      <c r="G336" s="112" t="s">
        <v>32</v>
      </c>
      <c r="H336" s="175"/>
    </row>
    <row r="337" spans="1:11" s="93" customFormat="1" x14ac:dyDescent="0.2">
      <c r="A337" s="218" t="s">
        <v>166</v>
      </c>
      <c r="B337" s="214">
        <v>4000000</v>
      </c>
      <c r="C337" s="214">
        <v>4000000</v>
      </c>
      <c r="D337" s="214">
        <v>1458146.8</v>
      </c>
      <c r="E337" s="475">
        <f t="shared" si="32"/>
        <v>36.453670000000002</v>
      </c>
      <c r="F337" s="134">
        <v>101484</v>
      </c>
      <c r="G337" s="112" t="s">
        <v>32</v>
      </c>
      <c r="H337" s="175"/>
    </row>
    <row r="338" spans="1:11" s="93" customFormat="1" x14ac:dyDescent="0.2">
      <c r="A338" s="473" t="s">
        <v>481</v>
      </c>
      <c r="B338" s="474">
        <f>2091000+42000</f>
        <v>2133000</v>
      </c>
      <c r="C338" s="474">
        <f>2493000+42000</f>
        <v>2535000</v>
      </c>
      <c r="D338" s="474">
        <f>2440628.59+15750</f>
        <v>2456378.59</v>
      </c>
      <c r="E338" s="475">
        <f t="shared" si="32"/>
        <v>96.898563708086783</v>
      </c>
      <c r="F338" s="134">
        <v>101518</v>
      </c>
      <c r="G338" s="112" t="s">
        <v>197</v>
      </c>
      <c r="H338" s="175"/>
    </row>
    <row r="339" spans="1:11" s="93" customFormat="1" x14ac:dyDescent="0.2">
      <c r="A339" s="473" t="s">
        <v>482</v>
      </c>
      <c r="B339" s="474">
        <v>113000</v>
      </c>
      <c r="C339" s="474">
        <v>93000</v>
      </c>
      <c r="D339" s="474">
        <v>13996.5</v>
      </c>
      <c r="E339" s="475">
        <f t="shared" si="32"/>
        <v>15.049999999999999</v>
      </c>
      <c r="F339" s="134">
        <v>101567</v>
      </c>
      <c r="G339" s="112" t="s">
        <v>365</v>
      </c>
      <c r="H339" s="175"/>
    </row>
    <row r="340" spans="1:11" s="93" customFormat="1" x14ac:dyDescent="0.2">
      <c r="A340" s="473" t="s">
        <v>483</v>
      </c>
      <c r="B340" s="474">
        <v>63000</v>
      </c>
      <c r="C340" s="474">
        <v>83000</v>
      </c>
      <c r="D340" s="474">
        <v>21875</v>
      </c>
      <c r="E340" s="475">
        <f t="shared" si="32"/>
        <v>26.35542168674699</v>
      </c>
      <c r="F340" s="134">
        <v>101568</v>
      </c>
      <c r="G340" s="112" t="s">
        <v>365</v>
      </c>
      <c r="H340" s="175"/>
    </row>
    <row r="341" spans="1:11" s="93" customFormat="1" x14ac:dyDescent="0.2">
      <c r="A341" s="473" t="s">
        <v>484</v>
      </c>
      <c r="B341" s="474">
        <v>130000</v>
      </c>
      <c r="C341" s="474">
        <v>130000</v>
      </c>
      <c r="D341" s="474">
        <v>25200</v>
      </c>
      <c r="E341" s="475">
        <f t="shared" si="32"/>
        <v>19.384615384615383</v>
      </c>
      <c r="F341" s="134">
        <v>101569</v>
      </c>
      <c r="G341" s="112" t="s">
        <v>365</v>
      </c>
      <c r="H341" s="175"/>
    </row>
    <row r="342" spans="1:11" s="93" customFormat="1" x14ac:dyDescent="0.2">
      <c r="A342" s="473" t="s">
        <v>485</v>
      </c>
      <c r="B342" s="474">
        <v>105000</v>
      </c>
      <c r="C342" s="474">
        <v>105000</v>
      </c>
      <c r="D342" s="474">
        <v>17136</v>
      </c>
      <c r="E342" s="475">
        <f t="shared" si="32"/>
        <v>16.32</v>
      </c>
      <c r="F342" s="134">
        <v>101570</v>
      </c>
      <c r="G342" s="112" t="s">
        <v>365</v>
      </c>
      <c r="H342" s="175"/>
    </row>
    <row r="343" spans="1:11" s="93" customFormat="1" x14ac:dyDescent="0.2">
      <c r="A343" s="473" t="s">
        <v>486</v>
      </c>
      <c r="B343" s="474">
        <v>63000</v>
      </c>
      <c r="C343" s="474">
        <v>63000</v>
      </c>
      <c r="D343" s="474">
        <v>37275</v>
      </c>
      <c r="E343" s="475">
        <f t="shared" si="32"/>
        <v>59.166666666666664</v>
      </c>
      <c r="F343" s="134">
        <v>101571</v>
      </c>
      <c r="G343" s="112" t="s">
        <v>365</v>
      </c>
      <c r="H343" s="175"/>
    </row>
    <row r="344" spans="1:11" s="93" customFormat="1" x14ac:dyDescent="0.2">
      <c r="A344" s="473" t="s">
        <v>487</v>
      </c>
      <c r="B344" s="474">
        <v>130000</v>
      </c>
      <c r="C344" s="474">
        <v>130000</v>
      </c>
      <c r="D344" s="474">
        <v>34335</v>
      </c>
      <c r="E344" s="475">
        <f t="shared" si="32"/>
        <v>26.411538461538463</v>
      </c>
      <c r="F344" s="134">
        <v>101572</v>
      </c>
      <c r="G344" s="112" t="s">
        <v>365</v>
      </c>
      <c r="H344" s="175"/>
    </row>
    <row r="345" spans="1:11" s="93" customFormat="1" ht="25.5" x14ac:dyDescent="0.2">
      <c r="A345" s="473" t="s">
        <v>488</v>
      </c>
      <c r="B345" s="474">
        <v>95000</v>
      </c>
      <c r="C345" s="474">
        <v>95000</v>
      </c>
      <c r="D345" s="474">
        <v>9072</v>
      </c>
      <c r="E345" s="475">
        <f t="shared" si="32"/>
        <v>9.5494736842105254</v>
      </c>
      <c r="F345" s="134">
        <v>101573</v>
      </c>
      <c r="G345" s="112" t="s">
        <v>365</v>
      </c>
      <c r="H345" s="175"/>
    </row>
    <row r="346" spans="1:11" s="93" customFormat="1" x14ac:dyDescent="0.2">
      <c r="A346" s="473" t="s">
        <v>489</v>
      </c>
      <c r="B346" s="474">
        <v>95000</v>
      </c>
      <c r="C346" s="474">
        <v>95000</v>
      </c>
      <c r="D346" s="474">
        <v>3150</v>
      </c>
      <c r="E346" s="475">
        <f t="shared" si="32"/>
        <v>3.3157894736842106</v>
      </c>
      <c r="F346" s="134">
        <v>101574</v>
      </c>
      <c r="G346" s="112" t="s">
        <v>365</v>
      </c>
      <c r="H346" s="175"/>
    </row>
    <row r="347" spans="1:11" s="93" customFormat="1" ht="13.5" thickBot="1" x14ac:dyDescent="0.25">
      <c r="A347" s="219" t="s">
        <v>490</v>
      </c>
      <c r="B347" s="399">
        <v>0</v>
      </c>
      <c r="C347" s="399">
        <f>1215325+184675</f>
        <v>1400000</v>
      </c>
      <c r="D347" s="399">
        <f>726640+152594.4</f>
        <v>879234.4</v>
      </c>
      <c r="E347" s="221">
        <f t="shared" si="32"/>
        <v>62.802457142857151</v>
      </c>
      <c r="F347" s="134">
        <v>101583</v>
      </c>
      <c r="G347" s="112" t="s">
        <v>32</v>
      </c>
      <c r="H347" s="175"/>
    </row>
    <row r="348" spans="1:11" s="7" customFormat="1" ht="13.5" thickTop="1" x14ac:dyDescent="0.2">
      <c r="A348" s="532"/>
      <c r="B348" s="110"/>
      <c r="C348" s="110"/>
      <c r="D348" s="110"/>
      <c r="E348" s="50"/>
      <c r="F348" s="80"/>
      <c r="G348" s="54"/>
      <c r="H348" s="54"/>
    </row>
    <row r="349" spans="1:11" s="7" customFormat="1" ht="15.75" thickBot="1" x14ac:dyDescent="0.25">
      <c r="A349" s="55" t="s">
        <v>29</v>
      </c>
      <c r="B349" s="5"/>
      <c r="C349" s="5"/>
      <c r="D349" s="5"/>
      <c r="E349" s="146" t="s">
        <v>18</v>
      </c>
      <c r="F349" s="80"/>
      <c r="G349" s="54"/>
      <c r="H349" s="117"/>
      <c r="I349" s="122"/>
      <c r="J349" s="122"/>
      <c r="K349" s="122"/>
    </row>
    <row r="350" spans="1:11" s="6" customFormat="1" ht="19.5" thickTop="1" thickBot="1" x14ac:dyDescent="0.3">
      <c r="A350" s="41" t="s">
        <v>5</v>
      </c>
      <c r="B350" s="42" t="s">
        <v>0</v>
      </c>
      <c r="C350" s="43" t="s">
        <v>1</v>
      </c>
      <c r="D350" s="44" t="s">
        <v>4</v>
      </c>
      <c r="E350" s="45" t="s">
        <v>6</v>
      </c>
      <c r="F350" s="29"/>
      <c r="G350" s="63"/>
      <c r="H350" s="63"/>
    </row>
    <row r="351" spans="1:11" s="7" customFormat="1" ht="15.75" thickTop="1" x14ac:dyDescent="0.2">
      <c r="A351" s="147" t="s">
        <v>10</v>
      </c>
      <c r="B351" s="108">
        <f>SUM(B352:B356)</f>
        <v>8403000</v>
      </c>
      <c r="C351" s="108">
        <f>SUM(C352:C356)</f>
        <v>39270375.600000001</v>
      </c>
      <c r="D351" s="108">
        <f>SUM(D352:D356)</f>
        <v>39066375.600000001</v>
      </c>
      <c r="E351" s="148">
        <f>D351/C351*100</f>
        <v>99.48052444907097</v>
      </c>
      <c r="F351" s="80"/>
      <c r="G351" s="54"/>
      <c r="H351" s="54"/>
    </row>
    <row r="352" spans="1:11" s="52" customFormat="1" x14ac:dyDescent="0.2">
      <c r="A352" s="504" t="s">
        <v>250</v>
      </c>
      <c r="B352" s="403">
        <v>4253000</v>
      </c>
      <c r="C352" s="400">
        <v>204000</v>
      </c>
      <c r="D352" s="400">
        <v>0</v>
      </c>
      <c r="E352" s="216">
        <v>0</v>
      </c>
      <c r="G352" s="117"/>
      <c r="H352" s="51"/>
    </row>
    <row r="353" spans="1:12" x14ac:dyDescent="0.2">
      <c r="A353" s="457"/>
      <c r="B353" s="538">
        <v>0</v>
      </c>
      <c r="C353" s="458">
        <v>3334003.99</v>
      </c>
      <c r="D353" s="458">
        <v>3334003.99</v>
      </c>
      <c r="E353" s="454">
        <f>D353/C353*100</f>
        <v>100</v>
      </c>
      <c r="F353" s="80">
        <v>1700</v>
      </c>
      <c r="G353" s="393" t="s">
        <v>154</v>
      </c>
    </row>
    <row r="354" spans="1:12" s="7" customFormat="1" x14ac:dyDescent="0.2">
      <c r="A354" s="232"/>
      <c r="B354" s="214">
        <v>0</v>
      </c>
      <c r="C354" s="214">
        <v>520000</v>
      </c>
      <c r="D354" s="214">
        <v>520000</v>
      </c>
      <c r="E354" s="216">
        <f t="shared" ref="E354:E356" si="33">D354/C354*100</f>
        <v>100</v>
      </c>
      <c r="F354" s="80">
        <v>1704</v>
      </c>
      <c r="G354" s="393" t="s">
        <v>154</v>
      </c>
      <c r="H354" s="54"/>
    </row>
    <row r="355" spans="1:12" s="7" customFormat="1" x14ac:dyDescent="0.2">
      <c r="A355" s="232"/>
      <c r="B355" s="214">
        <v>2691000</v>
      </c>
      <c r="C355" s="214">
        <v>23273010.789999999</v>
      </c>
      <c r="D355" s="214">
        <v>23273010.789999999</v>
      </c>
      <c r="E355" s="216">
        <f t="shared" si="33"/>
        <v>100</v>
      </c>
      <c r="F355" s="80">
        <v>1700</v>
      </c>
      <c r="G355" s="393" t="s">
        <v>153</v>
      </c>
      <c r="H355" s="54"/>
    </row>
    <row r="356" spans="1:12" s="7" customFormat="1" ht="13.5" thickBot="1" x14ac:dyDescent="0.25">
      <c r="A356" s="224"/>
      <c r="B356" s="399">
        <v>1459000</v>
      </c>
      <c r="C356" s="399">
        <v>11939360.82</v>
      </c>
      <c r="D356" s="399">
        <v>11939360.82</v>
      </c>
      <c r="E356" s="221">
        <f t="shared" si="33"/>
        <v>100</v>
      </c>
      <c r="F356" s="80">
        <v>1704</v>
      </c>
      <c r="G356" s="393" t="s">
        <v>153</v>
      </c>
      <c r="H356" s="54"/>
    </row>
    <row r="357" spans="1:12" s="7" customFormat="1" ht="13.5" thickTop="1" x14ac:dyDescent="0.2">
      <c r="A357" s="415"/>
      <c r="B357" s="110"/>
      <c r="C357" s="110"/>
      <c r="D357" s="110"/>
      <c r="E357" s="50"/>
      <c r="F357" s="80"/>
      <c r="G357" s="393"/>
      <c r="H357" s="54"/>
      <c r="I357" s="112" t="s">
        <v>32</v>
      </c>
      <c r="J357" s="121">
        <f>SUM(B329:B347)</f>
        <v>35735000</v>
      </c>
      <c r="K357" s="121">
        <f>SUM(C329:C347)</f>
        <v>19023000</v>
      </c>
      <c r="L357" s="121">
        <f>SUM(D329:D347)</f>
        <v>10172286</v>
      </c>
    </row>
    <row r="358" spans="1:12" s="7" customFormat="1" x14ac:dyDescent="0.2">
      <c r="B358" s="90"/>
      <c r="C358" s="90"/>
      <c r="D358" s="90"/>
      <c r="E358" s="50"/>
      <c r="F358" s="80"/>
      <c r="G358" s="54"/>
      <c r="H358" s="54"/>
      <c r="I358" s="117" t="s">
        <v>33</v>
      </c>
      <c r="J358" s="160">
        <f>SUM(B352:B356)</f>
        <v>8403000</v>
      </c>
      <c r="K358" s="160">
        <f>SUM(C352:C356)</f>
        <v>39270375.600000001</v>
      </c>
      <c r="L358" s="160">
        <f>SUM(D352:D356)</f>
        <v>39066375.600000001</v>
      </c>
    </row>
    <row r="359" spans="1:12" s="7" customFormat="1" ht="18.75" thickBot="1" x14ac:dyDescent="0.25">
      <c r="A359" s="60" t="s">
        <v>23</v>
      </c>
      <c r="B359" s="61">
        <f>SUM(B328,B351)</f>
        <v>44138000</v>
      </c>
      <c r="C359" s="61">
        <f>SUM(C328,C351)</f>
        <v>58293375.600000001</v>
      </c>
      <c r="D359" s="61">
        <f>SUM(D328,D351)</f>
        <v>49238661.600000001</v>
      </c>
      <c r="E359" s="62">
        <f>D359/C359*100</f>
        <v>84.466993192962391</v>
      </c>
      <c r="F359" s="80"/>
      <c r="G359" s="54"/>
      <c r="H359" s="54"/>
      <c r="J359" s="159">
        <f>SUM(J357:J358)</f>
        <v>44138000</v>
      </c>
      <c r="K359" s="159">
        <f>SUM(K357:K358)</f>
        <v>58293375.600000001</v>
      </c>
      <c r="L359" s="159">
        <f>SUM(L357:L358)</f>
        <v>49238661.600000001</v>
      </c>
    </row>
    <row r="360" spans="1:12" s="7" customFormat="1" ht="13.5" thickTop="1" x14ac:dyDescent="0.2">
      <c r="E360" s="50"/>
      <c r="F360" s="80"/>
      <c r="G360" s="54"/>
      <c r="H360" s="54"/>
    </row>
    <row r="361" spans="1:12" s="7" customFormat="1" x14ac:dyDescent="0.2">
      <c r="E361" s="50"/>
      <c r="F361" s="80"/>
      <c r="G361" s="54"/>
      <c r="H361" s="54"/>
    </row>
    <row r="362" spans="1:12" ht="15" customHeight="1" x14ac:dyDescent="0.25">
      <c r="A362" s="36" t="s">
        <v>395</v>
      </c>
    </row>
    <row r="363" spans="1:12" ht="15" customHeight="1" thickBot="1" x14ac:dyDescent="0.3">
      <c r="A363" s="39" t="s">
        <v>67</v>
      </c>
      <c r="E363" s="40" t="s">
        <v>18</v>
      </c>
    </row>
    <row r="364" spans="1:12" ht="14.25" thickTop="1" thickBot="1" x14ac:dyDescent="0.25">
      <c r="A364" s="41" t="s">
        <v>5</v>
      </c>
      <c r="B364" s="42" t="s">
        <v>0</v>
      </c>
      <c r="C364" s="43" t="s">
        <v>1</v>
      </c>
      <c r="D364" s="44" t="s">
        <v>4</v>
      </c>
      <c r="E364" s="45" t="s">
        <v>6</v>
      </c>
    </row>
    <row r="365" spans="1:12" ht="15.75" thickTop="1" x14ac:dyDescent="0.2">
      <c r="A365" s="46" t="s">
        <v>52</v>
      </c>
      <c r="B365" s="66">
        <f>SUM(B366:B366)</f>
        <v>0</v>
      </c>
      <c r="C365" s="66">
        <f>SUM(C366:C366)</f>
        <v>235091</v>
      </c>
      <c r="D365" s="66">
        <f>SUM(D366:D366)</f>
        <v>198064.9</v>
      </c>
      <c r="E365" s="76">
        <f t="shared" ref="E365:E366" si="34">D365/C365*100</f>
        <v>84.250311581472701</v>
      </c>
      <c r="F365" s="37"/>
    </row>
    <row r="366" spans="1:12" s="93" customFormat="1" ht="13.5" thickBot="1" x14ac:dyDescent="0.25">
      <c r="A366" s="219"/>
      <c r="B366" s="593">
        <v>0</v>
      </c>
      <c r="C366" s="593">
        <v>235091</v>
      </c>
      <c r="D366" s="593">
        <v>198064.9</v>
      </c>
      <c r="E366" s="221">
        <f t="shared" si="34"/>
        <v>84.250311581472701</v>
      </c>
      <c r="F366" s="134"/>
      <c r="G366" s="627" t="s">
        <v>247</v>
      </c>
      <c r="H366" s="92"/>
    </row>
    <row r="367" spans="1:12" s="7" customFormat="1" ht="13.5" thickTop="1" x14ac:dyDescent="0.2">
      <c r="A367" s="532"/>
      <c r="B367" s="110"/>
      <c r="C367" s="110"/>
      <c r="D367" s="110"/>
      <c r="E367" s="50"/>
      <c r="F367" s="80"/>
      <c r="G367" s="54"/>
      <c r="H367" s="54"/>
    </row>
    <row r="368" spans="1:12" s="7" customFormat="1" x14ac:dyDescent="0.2">
      <c r="B368" s="90"/>
      <c r="C368" s="90"/>
      <c r="D368" s="90"/>
      <c r="E368" s="50"/>
      <c r="F368" s="80"/>
      <c r="G368" s="54"/>
      <c r="H368" s="54"/>
      <c r="I368" s="628" t="s">
        <v>247</v>
      </c>
      <c r="J368" s="122">
        <f>SUM(B366:B366)</f>
        <v>0</v>
      </c>
      <c r="K368" s="122">
        <f>SUM(C366:C366)</f>
        <v>235091</v>
      </c>
      <c r="L368" s="122">
        <f>SUM(D366:D366)</f>
        <v>198064.9</v>
      </c>
    </row>
    <row r="369" spans="1:12" s="7" customFormat="1" ht="18.75" thickBot="1" x14ac:dyDescent="0.25">
      <c r="A369" s="60" t="s">
        <v>396</v>
      </c>
      <c r="B369" s="61">
        <f>B365</f>
        <v>0</v>
      </c>
      <c r="C369" s="61">
        <f>C365</f>
        <v>235091</v>
      </c>
      <c r="D369" s="61">
        <f>D365</f>
        <v>198064.9</v>
      </c>
      <c r="E369" s="62">
        <f>D369/C369*100</f>
        <v>84.250311581472701</v>
      </c>
      <c r="F369" s="80"/>
      <c r="G369" s="54"/>
      <c r="H369" s="54"/>
      <c r="J369" s="159">
        <f>SUM(J368:J368)</f>
        <v>0</v>
      </c>
      <c r="K369" s="159">
        <f>SUM(K368:K368)</f>
        <v>235091</v>
      </c>
      <c r="L369" s="159">
        <f>SUM(L368:L368)</f>
        <v>198064.9</v>
      </c>
    </row>
    <row r="370" spans="1:12" s="7" customFormat="1" ht="18.75" thickTop="1" x14ac:dyDescent="0.2">
      <c r="A370" s="143"/>
      <c r="B370" s="144"/>
      <c r="C370" s="144"/>
      <c r="D370" s="144"/>
      <c r="E370" s="145"/>
      <c r="F370" s="80"/>
      <c r="G370" s="54"/>
      <c r="H370" s="54"/>
      <c r="J370" s="159"/>
      <c r="K370" s="159"/>
      <c r="L370" s="159"/>
    </row>
    <row r="371" spans="1:12" s="7" customFormat="1" ht="18" x14ac:dyDescent="0.2">
      <c r="A371" s="143"/>
      <c r="B371" s="144"/>
      <c r="C371" s="144"/>
      <c r="D371" s="144"/>
      <c r="E371" s="145"/>
      <c r="F371" s="80"/>
      <c r="G371" s="54"/>
      <c r="H371" s="54"/>
      <c r="J371" s="159"/>
      <c r="K371" s="159"/>
      <c r="L371" s="159"/>
    </row>
    <row r="372" spans="1:12" ht="15" customHeight="1" x14ac:dyDescent="0.25">
      <c r="A372" s="36" t="s">
        <v>397</v>
      </c>
    </row>
    <row r="373" spans="1:12" ht="15" customHeight="1" thickBot="1" x14ac:dyDescent="0.3">
      <c r="A373" s="39" t="s">
        <v>67</v>
      </c>
      <c r="E373" s="40" t="s">
        <v>18</v>
      </c>
    </row>
    <row r="374" spans="1:12" ht="14.25" thickTop="1" thickBot="1" x14ac:dyDescent="0.25">
      <c r="A374" s="41" t="s">
        <v>5</v>
      </c>
      <c r="B374" s="42" t="s">
        <v>0</v>
      </c>
      <c r="C374" s="43" t="s">
        <v>1</v>
      </c>
      <c r="D374" s="44" t="s">
        <v>4</v>
      </c>
      <c r="E374" s="45" t="s">
        <v>6</v>
      </c>
    </row>
    <row r="375" spans="1:12" ht="15.75" thickTop="1" x14ac:dyDescent="0.2">
      <c r="A375" s="46" t="s">
        <v>366</v>
      </c>
      <c r="B375" s="66">
        <f>SUM(B376:B376)</f>
        <v>1500000</v>
      </c>
      <c r="C375" s="66">
        <f>SUM(C376:C376)</f>
        <v>1480000</v>
      </c>
      <c r="D375" s="66">
        <f>SUM(D376:D376)</f>
        <v>234740</v>
      </c>
      <c r="E375" s="76">
        <f t="shared" ref="E375:E376" si="35">D375/C375*100</f>
        <v>15.860810810810811</v>
      </c>
      <c r="F375" s="37"/>
    </row>
    <row r="376" spans="1:12" s="93" customFormat="1" ht="13.5" thickBot="1" x14ac:dyDescent="0.25">
      <c r="A376" s="219" t="s">
        <v>491</v>
      </c>
      <c r="B376" s="593">
        <v>1500000</v>
      </c>
      <c r="C376" s="593">
        <v>1480000</v>
      </c>
      <c r="D376" s="593">
        <v>234740</v>
      </c>
      <c r="E376" s="221">
        <f t="shared" si="35"/>
        <v>15.860810810810811</v>
      </c>
      <c r="F376" s="134">
        <v>101448</v>
      </c>
      <c r="G376" s="135" t="s">
        <v>32</v>
      </c>
      <c r="H376" s="92"/>
    </row>
    <row r="377" spans="1:12" s="7" customFormat="1" ht="13.5" thickTop="1" x14ac:dyDescent="0.2">
      <c r="A377" s="532"/>
      <c r="B377" s="110"/>
      <c r="C377" s="110"/>
      <c r="D377" s="110"/>
      <c r="E377" s="50"/>
      <c r="F377" s="80"/>
      <c r="G377" s="54"/>
      <c r="H377" s="54"/>
    </row>
    <row r="378" spans="1:12" s="7" customFormat="1" x14ac:dyDescent="0.2">
      <c r="B378" s="90"/>
      <c r="C378" s="90"/>
      <c r="D378" s="90"/>
      <c r="E378" s="50"/>
      <c r="F378" s="80"/>
      <c r="G378" s="54"/>
      <c r="H378" s="54"/>
      <c r="I378" s="112" t="s">
        <v>32</v>
      </c>
      <c r="J378" s="121">
        <f>SUM(B376:B376)</f>
        <v>1500000</v>
      </c>
      <c r="K378" s="121">
        <f>SUM(C376:C376)</f>
        <v>1480000</v>
      </c>
      <c r="L378" s="121">
        <f>SUM(D376:D376)</f>
        <v>234740</v>
      </c>
    </row>
    <row r="379" spans="1:12" s="7" customFormat="1" ht="18.75" thickBot="1" x14ac:dyDescent="0.25">
      <c r="A379" s="60" t="s">
        <v>367</v>
      </c>
      <c r="B379" s="61">
        <f>B375</f>
        <v>1500000</v>
      </c>
      <c r="C379" s="61">
        <f>C375</f>
        <v>1480000</v>
      </c>
      <c r="D379" s="61">
        <f>D375</f>
        <v>234740</v>
      </c>
      <c r="E379" s="62">
        <f>D379/C379*100</f>
        <v>15.860810810810811</v>
      </c>
      <c r="F379" s="80"/>
      <c r="G379" s="54"/>
      <c r="H379" s="54"/>
      <c r="J379" s="159">
        <f>SUM(J378:J378)</f>
        <v>1500000</v>
      </c>
      <c r="K379" s="159">
        <f>SUM(K378:K378)</f>
        <v>1480000</v>
      </c>
      <c r="L379" s="159">
        <f>SUM(L378:L378)</f>
        <v>234740</v>
      </c>
    </row>
    <row r="380" spans="1:12" s="7" customFormat="1" ht="18.75" thickTop="1" x14ac:dyDescent="0.2">
      <c r="A380" s="143"/>
      <c r="B380" s="144"/>
      <c r="C380" s="144"/>
      <c r="D380" s="144"/>
      <c r="E380" s="145"/>
      <c r="F380" s="80"/>
      <c r="G380" s="54"/>
      <c r="H380" s="54"/>
      <c r="J380" s="159"/>
      <c r="K380" s="159"/>
      <c r="L380" s="159"/>
    </row>
    <row r="381" spans="1:12" s="7" customFormat="1" ht="18" x14ac:dyDescent="0.2">
      <c r="A381" s="143"/>
      <c r="B381" s="144"/>
      <c r="C381" s="144"/>
      <c r="D381" s="144"/>
      <c r="E381" s="145"/>
      <c r="F381" s="80"/>
      <c r="G381" s="54"/>
      <c r="H381" s="54"/>
      <c r="J381" s="159"/>
      <c r="K381" s="159"/>
      <c r="L381" s="159"/>
    </row>
    <row r="382" spans="1:12" ht="15" customHeight="1" x14ac:dyDescent="0.25">
      <c r="A382" s="36" t="s">
        <v>398</v>
      </c>
    </row>
    <row r="383" spans="1:12" ht="15" customHeight="1" thickBot="1" x14ac:dyDescent="0.3">
      <c r="A383" s="39" t="s">
        <v>67</v>
      </c>
      <c r="E383" s="40" t="s">
        <v>18</v>
      </c>
    </row>
    <row r="384" spans="1:12" ht="14.25" thickTop="1" thickBot="1" x14ac:dyDescent="0.25">
      <c r="A384" s="41" t="s">
        <v>5</v>
      </c>
      <c r="B384" s="42" t="s">
        <v>0</v>
      </c>
      <c r="C384" s="43" t="s">
        <v>1</v>
      </c>
      <c r="D384" s="44" t="s">
        <v>4</v>
      </c>
      <c r="E384" s="45" t="s">
        <v>6</v>
      </c>
    </row>
    <row r="385" spans="1:12" ht="15.75" thickTop="1" x14ac:dyDescent="0.2">
      <c r="A385" s="46" t="s">
        <v>246</v>
      </c>
      <c r="B385" s="66">
        <f>SUM(B386:B387)</f>
        <v>2500000</v>
      </c>
      <c r="C385" s="66">
        <f>SUM(C386:C387)</f>
        <v>3530000</v>
      </c>
      <c r="D385" s="66">
        <f>SUM(D386:D387)</f>
        <v>3526868.2</v>
      </c>
      <c r="E385" s="76">
        <f t="shared" ref="E385:E387" si="36">D385/C385*100</f>
        <v>99.911280453257802</v>
      </c>
      <c r="F385" s="37"/>
    </row>
    <row r="386" spans="1:12" x14ac:dyDescent="0.2">
      <c r="A386" s="473" t="s">
        <v>492</v>
      </c>
      <c r="B386" s="538">
        <v>0</v>
      </c>
      <c r="C386" s="538">
        <v>1600000</v>
      </c>
      <c r="D386" s="538">
        <v>1599015</v>
      </c>
      <c r="E386" s="454">
        <f t="shared" si="36"/>
        <v>99.938437499999992</v>
      </c>
      <c r="F386" s="134">
        <v>101624</v>
      </c>
      <c r="G386" s="135" t="s">
        <v>32</v>
      </c>
    </row>
    <row r="387" spans="1:12" s="93" customFormat="1" ht="13.5" thickBot="1" x14ac:dyDescent="0.25">
      <c r="A387" s="219"/>
      <c r="B387" s="593">
        <v>2500000</v>
      </c>
      <c r="C387" s="593">
        <v>1930000</v>
      </c>
      <c r="D387" s="593">
        <v>1927853.2</v>
      </c>
      <c r="E387" s="221">
        <f t="shared" si="36"/>
        <v>99.888766839378235</v>
      </c>
      <c r="F387" s="134">
        <v>101542</v>
      </c>
      <c r="G387" s="135" t="s">
        <v>32</v>
      </c>
      <c r="H387" s="92"/>
    </row>
    <row r="388" spans="1:12" s="7" customFormat="1" ht="13.5" thickTop="1" x14ac:dyDescent="0.2">
      <c r="A388" s="532"/>
      <c r="B388" s="110"/>
      <c r="C388" s="110"/>
      <c r="D388" s="110"/>
      <c r="E388" s="50"/>
      <c r="F388" s="80"/>
      <c r="G388" s="54"/>
      <c r="H388" s="54"/>
    </row>
    <row r="389" spans="1:12" s="7" customFormat="1" x14ac:dyDescent="0.2">
      <c r="B389" s="90"/>
      <c r="C389" s="90"/>
      <c r="D389" s="90"/>
      <c r="E389" s="50"/>
      <c r="F389" s="80"/>
      <c r="G389" s="54"/>
      <c r="H389" s="54"/>
      <c r="I389" s="112" t="s">
        <v>32</v>
      </c>
      <c r="J389" s="121">
        <f>SUM(B386:B387)</f>
        <v>2500000</v>
      </c>
      <c r="K389" s="121">
        <f t="shared" ref="K389:L389" si="37">SUM(C386:C387)</f>
        <v>3530000</v>
      </c>
      <c r="L389" s="121">
        <f t="shared" si="37"/>
        <v>3526868.2</v>
      </c>
    </row>
    <row r="390" spans="1:12" s="7" customFormat="1" ht="18.75" thickBot="1" x14ac:dyDescent="0.25">
      <c r="A390" s="60" t="s">
        <v>311</v>
      </c>
      <c r="B390" s="61">
        <f>B385</f>
        <v>2500000</v>
      </c>
      <c r="C390" s="61">
        <f>C385</f>
        <v>3530000</v>
      </c>
      <c r="D390" s="61">
        <f>D385</f>
        <v>3526868.2</v>
      </c>
      <c r="E390" s="62">
        <f>D390/C390*100</f>
        <v>99.911280453257802</v>
      </c>
      <c r="F390" s="80"/>
      <c r="G390" s="54"/>
      <c r="H390" s="54"/>
      <c r="J390" s="159">
        <f>SUM(J389:J389)</f>
        <v>2500000</v>
      </c>
      <c r="K390" s="159">
        <f>SUM(K389:K389)</f>
        <v>3530000</v>
      </c>
      <c r="L390" s="159">
        <f>SUM(L389:L389)</f>
        <v>3526868.2</v>
      </c>
    </row>
    <row r="391" spans="1:12" s="7" customFormat="1" ht="18.75" thickTop="1" x14ac:dyDescent="0.2">
      <c r="A391" s="143"/>
      <c r="B391" s="144"/>
      <c r="C391" s="144"/>
      <c r="D391" s="144"/>
      <c r="E391" s="145"/>
      <c r="F391" s="80"/>
      <c r="G391" s="54"/>
      <c r="H391" s="54"/>
      <c r="J391" s="159"/>
      <c r="K391" s="159"/>
      <c r="L391" s="159"/>
    </row>
    <row r="392" spans="1:12" s="7" customFormat="1" ht="18" x14ac:dyDescent="0.2">
      <c r="A392" s="143"/>
      <c r="B392" s="144"/>
      <c r="C392" s="144"/>
      <c r="D392" s="144"/>
      <c r="E392" s="145"/>
      <c r="F392" s="80"/>
      <c r="G392" s="54"/>
      <c r="H392" s="54"/>
      <c r="J392" s="159"/>
      <c r="K392" s="159"/>
      <c r="L392" s="159"/>
    </row>
    <row r="393" spans="1:12" ht="15" customHeight="1" x14ac:dyDescent="0.25">
      <c r="A393" s="36" t="s">
        <v>399</v>
      </c>
    </row>
    <row r="394" spans="1:12" ht="15" customHeight="1" thickBot="1" x14ac:dyDescent="0.3">
      <c r="A394" s="39" t="s">
        <v>67</v>
      </c>
      <c r="E394" s="40" t="s">
        <v>18</v>
      </c>
    </row>
    <row r="395" spans="1:12" ht="14.25" thickTop="1" thickBot="1" x14ac:dyDescent="0.25">
      <c r="A395" s="41" t="s">
        <v>5</v>
      </c>
      <c r="B395" s="42" t="s">
        <v>0</v>
      </c>
      <c r="C395" s="43" t="s">
        <v>1</v>
      </c>
      <c r="D395" s="44" t="s">
        <v>4</v>
      </c>
      <c r="E395" s="45" t="s">
        <v>6</v>
      </c>
    </row>
    <row r="396" spans="1:12" ht="15.75" thickTop="1" x14ac:dyDescent="0.2">
      <c r="A396" s="46" t="s">
        <v>369</v>
      </c>
      <c r="B396" s="66">
        <f>SUM(B397:B397)</f>
        <v>0</v>
      </c>
      <c r="C396" s="66">
        <f>SUM(C397:C397)</f>
        <v>7990000</v>
      </c>
      <c r="D396" s="66">
        <f>SUM(D397:D397)</f>
        <v>1281632</v>
      </c>
      <c r="E396" s="76">
        <f t="shared" ref="E396:E397" si="38">D396/C396*100</f>
        <v>16.040450563204008</v>
      </c>
      <c r="F396" s="37"/>
    </row>
    <row r="397" spans="1:12" s="93" customFormat="1" ht="13.5" thickBot="1" x14ac:dyDescent="0.25">
      <c r="A397" s="219" t="s">
        <v>493</v>
      </c>
      <c r="B397" s="593">
        <v>0</v>
      </c>
      <c r="C397" s="593">
        <v>7990000</v>
      </c>
      <c r="D397" s="593">
        <v>1281632</v>
      </c>
      <c r="E397" s="221">
        <f t="shared" si="38"/>
        <v>16.040450563204008</v>
      </c>
      <c r="F397" s="134">
        <v>101595</v>
      </c>
      <c r="G397" s="135" t="s">
        <v>32</v>
      </c>
      <c r="H397" s="92"/>
    </row>
    <row r="398" spans="1:12" s="7" customFormat="1" ht="13.5" thickTop="1" x14ac:dyDescent="0.2">
      <c r="A398" s="532"/>
      <c r="B398" s="110"/>
      <c r="C398" s="110"/>
      <c r="D398" s="110"/>
      <c r="E398" s="50"/>
      <c r="F398" s="80"/>
      <c r="G398" s="54"/>
      <c r="H398" s="54"/>
    </row>
    <row r="399" spans="1:12" s="7" customFormat="1" x14ac:dyDescent="0.2">
      <c r="B399" s="90"/>
      <c r="C399" s="90"/>
      <c r="D399" s="90"/>
      <c r="E399" s="50"/>
      <c r="F399" s="80"/>
      <c r="G399" s="54"/>
      <c r="H399" s="54"/>
      <c r="I399" s="112" t="s">
        <v>32</v>
      </c>
      <c r="J399" s="121">
        <f>SUM(B397:B397)</f>
        <v>0</v>
      </c>
      <c r="K399" s="121">
        <f>SUM(C397:C397)</f>
        <v>7990000</v>
      </c>
      <c r="L399" s="121">
        <f>SUM(D397:D397)</f>
        <v>1281632</v>
      </c>
    </row>
    <row r="400" spans="1:12" s="7" customFormat="1" ht="18.75" thickBot="1" x14ac:dyDescent="0.25">
      <c r="A400" s="60" t="s">
        <v>370</v>
      </c>
      <c r="B400" s="61">
        <f>B396</f>
        <v>0</v>
      </c>
      <c r="C400" s="61">
        <f>C396</f>
        <v>7990000</v>
      </c>
      <c r="D400" s="61">
        <f>D396</f>
        <v>1281632</v>
      </c>
      <c r="E400" s="62">
        <f>D400/C400*100</f>
        <v>16.040450563204008</v>
      </c>
      <c r="F400" s="80"/>
      <c r="G400" s="54"/>
      <c r="H400" s="54"/>
      <c r="J400" s="159">
        <f>SUM(J399:J399)</f>
        <v>0</v>
      </c>
      <c r="K400" s="159">
        <f>SUM(K399:K399)</f>
        <v>7990000</v>
      </c>
      <c r="L400" s="159">
        <f>SUM(L399:L399)</f>
        <v>1281632</v>
      </c>
    </row>
    <row r="401" spans="1:12" s="7" customFormat="1" ht="18.75" thickTop="1" x14ac:dyDescent="0.2">
      <c r="A401" s="143"/>
      <c r="B401" s="144"/>
      <c r="C401" s="144"/>
      <c r="D401" s="144"/>
      <c r="E401" s="145"/>
      <c r="F401" s="80"/>
      <c r="G401" s="54"/>
      <c r="H401" s="54"/>
      <c r="J401" s="159"/>
      <c r="K401" s="159"/>
      <c r="L401" s="159"/>
    </row>
    <row r="402" spans="1:12" s="7" customFormat="1" ht="18" x14ac:dyDescent="0.2">
      <c r="A402" s="143"/>
      <c r="B402" s="144"/>
      <c r="C402" s="144"/>
      <c r="D402" s="144"/>
      <c r="E402" s="145"/>
      <c r="F402" s="80"/>
      <c r="G402" s="54"/>
      <c r="H402" s="54"/>
      <c r="J402" s="159"/>
      <c r="K402" s="159"/>
      <c r="L402" s="159"/>
    </row>
    <row r="403" spans="1:12" ht="18" x14ac:dyDescent="0.25">
      <c r="A403" s="36" t="s">
        <v>400</v>
      </c>
      <c r="F403" s="37"/>
    </row>
    <row r="404" spans="1:12" s="58" customFormat="1" ht="15.75" thickBot="1" x14ac:dyDescent="0.3">
      <c r="A404" s="39" t="s">
        <v>39</v>
      </c>
      <c r="B404" s="5"/>
      <c r="C404" s="5"/>
      <c r="D404" s="5"/>
      <c r="E404" s="40" t="s">
        <v>18</v>
      </c>
      <c r="F404" s="84"/>
      <c r="G404" s="470"/>
      <c r="H404" s="57"/>
    </row>
    <row r="405" spans="1:12" ht="14.25" thickTop="1" thickBot="1" x14ac:dyDescent="0.25">
      <c r="A405" s="41" t="s">
        <v>5</v>
      </c>
      <c r="B405" s="42" t="s">
        <v>0</v>
      </c>
      <c r="C405" s="43" t="s">
        <v>1</v>
      </c>
      <c r="D405" s="44" t="s">
        <v>4</v>
      </c>
      <c r="E405" s="45" t="s">
        <v>6</v>
      </c>
      <c r="F405" s="37"/>
    </row>
    <row r="406" spans="1:12" ht="15.75" thickTop="1" x14ac:dyDescent="0.2">
      <c r="A406" s="463" t="s">
        <v>53</v>
      </c>
      <c r="B406" s="464">
        <f>SUM(B407:B408)</f>
        <v>28300000</v>
      </c>
      <c r="C406" s="464">
        <f t="shared" ref="C406:D406" si="39">SUM(C407:C408)</f>
        <v>20400000</v>
      </c>
      <c r="D406" s="464">
        <f t="shared" si="39"/>
        <v>4375877.42</v>
      </c>
      <c r="E406" s="465">
        <f>D406/C406*100</f>
        <v>21.45037950980392</v>
      </c>
      <c r="F406" s="37"/>
      <c r="G406" s="54" t="s">
        <v>137</v>
      </c>
    </row>
    <row r="407" spans="1:12" ht="15" x14ac:dyDescent="0.2">
      <c r="A407" s="46"/>
      <c r="B407" s="453">
        <v>10400000</v>
      </c>
      <c r="C407" s="453">
        <v>10400000</v>
      </c>
      <c r="D407" s="453">
        <v>0</v>
      </c>
      <c r="E407" s="454">
        <f t="shared" ref="E407:E408" si="40">D407/C407*100</f>
        <v>0</v>
      </c>
      <c r="F407" s="37"/>
      <c r="G407" s="54"/>
    </row>
    <row r="408" spans="1:12" x14ac:dyDescent="0.2">
      <c r="A408" s="457"/>
      <c r="B408" s="453">
        <v>17900000</v>
      </c>
      <c r="C408" s="453">
        <v>10000000</v>
      </c>
      <c r="D408" s="453">
        <v>4375877.42</v>
      </c>
      <c r="E408" s="454">
        <f t="shared" si="40"/>
        <v>43.758774199999998</v>
      </c>
      <c r="F408" s="37"/>
      <c r="G408" s="138"/>
    </row>
    <row r="409" spans="1:12" ht="15" x14ac:dyDescent="0.25">
      <c r="A409" s="463" t="s">
        <v>107</v>
      </c>
      <c r="B409" s="521">
        <f>SUM(B410:B410)</f>
        <v>16206000</v>
      </c>
      <c r="C409" s="464">
        <f>SUM(C410:C410)</f>
        <v>19206000</v>
      </c>
      <c r="D409" s="464">
        <f>SUM(D410:D410)</f>
        <v>5414447.5</v>
      </c>
      <c r="E409" s="465">
        <f>D409/C409*100</f>
        <v>28.191437571592211</v>
      </c>
      <c r="F409" s="37"/>
      <c r="G409" s="54" t="s">
        <v>106</v>
      </c>
      <c r="H409" s="54"/>
      <c r="I409" s="105"/>
      <c r="J409" s="120"/>
      <c r="K409" s="120"/>
      <c r="L409" s="120"/>
    </row>
    <row r="410" spans="1:12" ht="15" x14ac:dyDescent="0.25">
      <c r="A410" s="555"/>
      <c r="B410" s="556">
        <v>16206000</v>
      </c>
      <c r="C410" s="556">
        <v>19206000</v>
      </c>
      <c r="D410" s="556">
        <v>5414447.5</v>
      </c>
      <c r="E410" s="557">
        <f t="shared" ref="E410" si="41">D410/C410*100</f>
        <v>28.191437571592211</v>
      </c>
      <c r="F410" s="37"/>
      <c r="G410" s="180"/>
      <c r="H410" s="54"/>
      <c r="I410" s="105"/>
      <c r="J410" s="120"/>
      <c r="K410" s="120"/>
      <c r="L410" s="120"/>
    </row>
    <row r="411" spans="1:12" ht="15" x14ac:dyDescent="0.25">
      <c r="A411" s="463" t="s">
        <v>394</v>
      </c>
      <c r="B411" s="521">
        <f>SUM(B412:B412)</f>
        <v>0</v>
      </c>
      <c r="C411" s="464">
        <f>SUM(C412:C412)</f>
        <v>20000</v>
      </c>
      <c r="D411" s="464">
        <f>SUM(D412:D412)</f>
        <v>20000</v>
      </c>
      <c r="E411" s="465">
        <f>D411/C411*100</f>
        <v>100</v>
      </c>
      <c r="F411" s="37"/>
      <c r="G411" s="54" t="s">
        <v>106</v>
      </c>
      <c r="H411" s="54"/>
      <c r="I411" s="105"/>
      <c r="J411" s="120"/>
      <c r="K411" s="120"/>
      <c r="L411" s="120"/>
    </row>
    <row r="412" spans="1:12" ht="15" x14ac:dyDescent="0.25">
      <c r="A412" s="555"/>
      <c r="B412" s="556">
        <v>0</v>
      </c>
      <c r="C412" s="556">
        <v>20000</v>
      </c>
      <c r="D412" s="556">
        <v>20000</v>
      </c>
      <c r="E412" s="557">
        <f t="shared" ref="E412" si="42">D412/C412*100</f>
        <v>100</v>
      </c>
      <c r="F412" s="37"/>
      <c r="G412" s="180"/>
      <c r="H412" s="54"/>
      <c r="I412" s="105"/>
      <c r="J412" s="120"/>
      <c r="K412" s="120"/>
      <c r="L412" s="120"/>
    </row>
    <row r="413" spans="1:12" ht="15" x14ac:dyDescent="0.25">
      <c r="A413" s="463" t="s">
        <v>198</v>
      </c>
      <c r="B413" s="521">
        <f>SUM(B414:B414)</f>
        <v>10500000</v>
      </c>
      <c r="C413" s="464">
        <f>SUM(C414:C414)</f>
        <v>180000</v>
      </c>
      <c r="D413" s="464">
        <f>SUM(D414:D414)</f>
        <v>171799.43</v>
      </c>
      <c r="E413" s="465">
        <f>D413/C413*100</f>
        <v>95.44412777777778</v>
      </c>
      <c r="F413" s="37"/>
      <c r="G413" s="54" t="s">
        <v>247</v>
      </c>
      <c r="H413" s="54"/>
      <c r="I413" s="105"/>
      <c r="J413" s="120"/>
      <c r="K413" s="120"/>
      <c r="L413" s="120"/>
    </row>
    <row r="414" spans="1:12" ht="13.5" thickBot="1" x14ac:dyDescent="0.25">
      <c r="A414" s="509"/>
      <c r="B414" s="539">
        <v>10500000</v>
      </c>
      <c r="C414" s="539">
        <v>180000</v>
      </c>
      <c r="D414" s="539">
        <v>171799.43</v>
      </c>
      <c r="E414" s="130">
        <f t="shared" ref="E414" si="43">D414/C414*100</f>
        <v>95.44412777777778</v>
      </c>
      <c r="F414" s="37"/>
      <c r="G414" s="180"/>
      <c r="H414" s="54"/>
      <c r="I414" s="38" t="s">
        <v>138</v>
      </c>
      <c r="J414" s="4">
        <f>B406</f>
        <v>28300000</v>
      </c>
      <c r="K414" s="4">
        <f>C406</f>
        <v>20400000</v>
      </c>
      <c r="L414" s="4">
        <f>D406</f>
        <v>4375877.42</v>
      </c>
    </row>
    <row r="415" spans="1:12" ht="13.5" thickTop="1" x14ac:dyDescent="0.2">
      <c r="A415" s="64"/>
      <c r="B415" s="65"/>
      <c r="C415" s="65"/>
      <c r="D415" s="65"/>
      <c r="E415" s="50"/>
      <c r="G415" s="54"/>
      <c r="H415" s="54"/>
      <c r="I415" s="38" t="s">
        <v>139</v>
      </c>
      <c r="J415" s="4">
        <f>B409</f>
        <v>16206000</v>
      </c>
      <c r="K415" s="4">
        <f>C409</f>
        <v>19206000</v>
      </c>
      <c r="L415" s="4">
        <f>D409</f>
        <v>5414447.5</v>
      </c>
    </row>
    <row r="416" spans="1:12" x14ac:dyDescent="0.2">
      <c r="A416" s="64"/>
      <c r="B416" s="65"/>
      <c r="C416" s="65"/>
      <c r="D416" s="65"/>
      <c r="E416" s="50"/>
      <c r="G416" s="54"/>
      <c r="H416" s="54"/>
      <c r="I416" s="38" t="s">
        <v>401</v>
      </c>
      <c r="J416" s="4">
        <f>B411</f>
        <v>0</v>
      </c>
      <c r="K416" s="4">
        <f t="shared" ref="K416:L416" si="44">C411</f>
        <v>20000</v>
      </c>
      <c r="L416" s="4">
        <f t="shared" si="44"/>
        <v>20000</v>
      </c>
    </row>
    <row r="417" spans="1:12" x14ac:dyDescent="0.2">
      <c r="A417" s="64"/>
      <c r="B417" s="65"/>
      <c r="C417" s="65"/>
      <c r="D417" s="65"/>
      <c r="E417" s="50"/>
      <c r="G417" s="54"/>
      <c r="H417" s="54"/>
      <c r="I417" s="38" t="s">
        <v>247</v>
      </c>
      <c r="J417" s="4">
        <f>B413</f>
        <v>10500000</v>
      </c>
      <c r="K417" s="4">
        <f t="shared" ref="K417:L417" si="45">C413</f>
        <v>180000</v>
      </c>
      <c r="L417" s="4">
        <f t="shared" si="45"/>
        <v>171799.43</v>
      </c>
    </row>
    <row r="418" spans="1:12" ht="18.75" thickBot="1" x14ac:dyDescent="0.3">
      <c r="A418" s="60" t="s">
        <v>94</v>
      </c>
      <c r="B418" s="61">
        <f>SUM(B406,B409,B413,B411)</f>
        <v>55006000</v>
      </c>
      <c r="C418" s="61">
        <f t="shared" ref="C418:D418" si="46">SUM(C406,C409,C413,C411)</f>
        <v>39806000</v>
      </c>
      <c r="D418" s="61">
        <f t="shared" si="46"/>
        <v>9982124.3499999996</v>
      </c>
      <c r="E418" s="62">
        <f>D418/C418*100</f>
        <v>25.076934004923878</v>
      </c>
      <c r="G418" s="54"/>
      <c r="H418" s="54"/>
      <c r="I418" s="105"/>
      <c r="J418" s="120">
        <f>SUM(J414:J417)</f>
        <v>55006000</v>
      </c>
      <c r="K418" s="120">
        <f>SUM(K414:K417)</f>
        <v>39806000</v>
      </c>
      <c r="L418" s="120">
        <f>SUM(L414:L417)</f>
        <v>9982124.3499999996</v>
      </c>
    </row>
    <row r="419" spans="1:12" ht="18.75" thickTop="1" x14ac:dyDescent="0.2">
      <c r="A419" s="143"/>
      <c r="B419" s="144"/>
      <c r="C419" s="144"/>
      <c r="D419" s="144"/>
      <c r="E419" s="145"/>
      <c r="G419" s="54"/>
      <c r="H419" s="54"/>
    </row>
    <row r="420" spans="1:12" x14ac:dyDescent="0.2">
      <c r="B420" s="4"/>
      <c r="F420" s="97"/>
      <c r="G420" s="54"/>
      <c r="H420" s="54"/>
    </row>
    <row r="421" spans="1:12" ht="14.25" x14ac:dyDescent="0.2">
      <c r="A421" s="68" t="s">
        <v>12</v>
      </c>
      <c r="B421" s="68"/>
      <c r="C421" s="68"/>
      <c r="D421" s="68"/>
      <c r="E421" s="69"/>
      <c r="F421" s="98"/>
      <c r="G421" s="54"/>
      <c r="H421" s="54"/>
    </row>
    <row r="422" spans="1:12" ht="14.25" x14ac:dyDescent="0.2">
      <c r="A422" s="70" t="s">
        <v>16</v>
      </c>
      <c r="B422" s="71">
        <f>SUM(B134)</f>
        <v>128057000</v>
      </c>
      <c r="C422" s="71">
        <f>SUM(C134)</f>
        <v>240709718.13</v>
      </c>
      <c r="D422" s="71">
        <f>SUM(D134)</f>
        <v>168252388.09999999</v>
      </c>
      <c r="E422" s="72">
        <f t="shared" ref="E422:E432" si="47">D422/C422*100</f>
        <v>69.898460854468709</v>
      </c>
      <c r="F422" s="99"/>
      <c r="G422" s="54"/>
      <c r="H422" s="54"/>
    </row>
    <row r="423" spans="1:12" ht="14.25" x14ac:dyDescent="0.2">
      <c r="A423" s="70" t="s">
        <v>15</v>
      </c>
      <c r="B423" s="71">
        <f>SUM(B231)</f>
        <v>81242000</v>
      </c>
      <c r="C423" s="71">
        <f>SUM(C231)</f>
        <v>123544647.16</v>
      </c>
      <c r="D423" s="71">
        <f>SUM(D231)</f>
        <v>92899226.289999992</v>
      </c>
      <c r="E423" s="72">
        <f t="shared" si="47"/>
        <v>75.194861473591985</v>
      </c>
      <c r="F423" s="100"/>
      <c r="G423" s="54"/>
      <c r="H423" s="54"/>
    </row>
    <row r="424" spans="1:12" ht="14.25" x14ac:dyDescent="0.2">
      <c r="A424" s="70" t="s">
        <v>17</v>
      </c>
      <c r="B424" s="71">
        <f>SUM(B274)</f>
        <v>68380000</v>
      </c>
      <c r="C424" s="71">
        <f>SUM(C274)</f>
        <v>98225833.949999988</v>
      </c>
      <c r="D424" s="71">
        <f>SUM(D274)</f>
        <v>85303697.969999999</v>
      </c>
      <c r="E424" s="72">
        <f t="shared" si="47"/>
        <v>86.844462947926957</v>
      </c>
      <c r="G424" s="54"/>
      <c r="H424" s="54"/>
    </row>
    <row r="425" spans="1:12" ht="14.25" x14ac:dyDescent="0.2">
      <c r="A425" s="70" t="s">
        <v>13</v>
      </c>
      <c r="B425" s="71">
        <f>SUM(B321)</f>
        <v>317479000</v>
      </c>
      <c r="C425" s="71">
        <f>SUM(C321)</f>
        <v>349394393.48000002</v>
      </c>
      <c r="D425" s="71">
        <f>SUM(D321)</f>
        <v>303285849.32000005</v>
      </c>
      <c r="E425" s="72">
        <f t="shared" si="47"/>
        <v>86.803295925628717</v>
      </c>
      <c r="G425" s="54"/>
      <c r="H425" s="54"/>
    </row>
    <row r="426" spans="1:12" ht="14.25" x14ac:dyDescent="0.2">
      <c r="A426" s="70" t="s">
        <v>14</v>
      </c>
      <c r="B426" s="71">
        <f>SUM(B359)</f>
        <v>44138000</v>
      </c>
      <c r="C426" s="71">
        <f>SUM(C359)</f>
        <v>58293375.600000001</v>
      </c>
      <c r="D426" s="71">
        <f>SUM(D359)</f>
        <v>49238661.600000001</v>
      </c>
      <c r="E426" s="72">
        <f t="shared" si="47"/>
        <v>84.466993192962391</v>
      </c>
      <c r="G426" s="54"/>
      <c r="H426" s="54"/>
    </row>
    <row r="427" spans="1:12" ht="14.25" x14ac:dyDescent="0.2">
      <c r="A427" s="70" t="s">
        <v>51</v>
      </c>
      <c r="B427" s="71">
        <f>B369</f>
        <v>0</v>
      </c>
      <c r="C427" s="71">
        <f t="shared" ref="C427:D427" si="48">C369</f>
        <v>235091</v>
      </c>
      <c r="D427" s="71">
        <f t="shared" si="48"/>
        <v>198064.9</v>
      </c>
      <c r="E427" s="72">
        <f t="shared" si="47"/>
        <v>84.250311581472701</v>
      </c>
      <c r="G427" s="54"/>
      <c r="H427" s="54"/>
    </row>
    <row r="428" spans="1:12" ht="14.25" x14ac:dyDescent="0.2">
      <c r="A428" s="70" t="s">
        <v>368</v>
      </c>
      <c r="B428" s="71">
        <f>B379</f>
        <v>1500000</v>
      </c>
      <c r="C428" s="71">
        <f t="shared" ref="C428:D428" si="49">C379</f>
        <v>1480000</v>
      </c>
      <c r="D428" s="71">
        <f t="shared" si="49"/>
        <v>234740</v>
      </c>
      <c r="E428" s="72">
        <f t="shared" si="47"/>
        <v>15.860810810810811</v>
      </c>
      <c r="G428" s="54"/>
      <c r="H428" s="54"/>
    </row>
    <row r="429" spans="1:12" ht="14.25" x14ac:dyDescent="0.2">
      <c r="A429" s="70" t="s">
        <v>225</v>
      </c>
      <c r="B429" s="71">
        <f>B390</f>
        <v>2500000</v>
      </c>
      <c r="C429" s="71">
        <f>C390</f>
        <v>3530000</v>
      </c>
      <c r="D429" s="71">
        <f>D390</f>
        <v>3526868.2</v>
      </c>
      <c r="E429" s="72">
        <f t="shared" si="47"/>
        <v>99.911280453257802</v>
      </c>
      <c r="G429" s="54"/>
      <c r="H429" s="54"/>
    </row>
    <row r="430" spans="1:12" ht="14.25" x14ac:dyDescent="0.2">
      <c r="A430" s="70" t="s">
        <v>371</v>
      </c>
      <c r="B430" s="71">
        <f>B400</f>
        <v>0</v>
      </c>
      <c r="C430" s="71">
        <f t="shared" ref="C430:D430" si="50">C400</f>
        <v>7990000</v>
      </c>
      <c r="D430" s="71">
        <f t="shared" si="50"/>
        <v>1281632</v>
      </c>
      <c r="E430" s="72">
        <f t="shared" si="47"/>
        <v>16.040450563204008</v>
      </c>
      <c r="G430" s="54"/>
      <c r="H430" s="54"/>
    </row>
    <row r="431" spans="1:12" ht="14.25" x14ac:dyDescent="0.2">
      <c r="A431" s="70" t="s">
        <v>44</v>
      </c>
      <c r="B431" s="71">
        <f>SUM(B418)</f>
        <v>55006000</v>
      </c>
      <c r="C431" s="71">
        <f>SUM(C418)</f>
        <v>39806000</v>
      </c>
      <c r="D431" s="71">
        <f>SUM(D418)</f>
        <v>9982124.3499999996</v>
      </c>
      <c r="E431" s="72">
        <f t="shared" si="47"/>
        <v>25.076934004923878</v>
      </c>
    </row>
    <row r="432" spans="1:12" ht="15.75" thickBot="1" x14ac:dyDescent="0.25">
      <c r="A432" s="73" t="s">
        <v>3</v>
      </c>
      <c r="B432" s="74">
        <f>SUM(B422:B431)</f>
        <v>698302000</v>
      </c>
      <c r="C432" s="74">
        <f>SUM(C422:C431)</f>
        <v>923209059.32000005</v>
      </c>
      <c r="D432" s="74">
        <f>SUM(D422:D431)</f>
        <v>714203252.73000014</v>
      </c>
      <c r="E432" s="75">
        <f t="shared" si="47"/>
        <v>77.360945012395618</v>
      </c>
    </row>
    <row r="433" spans="1:12" ht="13.5" thickTop="1" x14ac:dyDescent="0.2">
      <c r="F433" s="1"/>
      <c r="G433" s="1"/>
      <c r="H433" s="125"/>
    </row>
    <row r="434" spans="1:12" x14ac:dyDescent="0.2">
      <c r="F434" s="1"/>
      <c r="G434" s="1"/>
    </row>
    <row r="435" spans="1:12" x14ac:dyDescent="0.2">
      <c r="F435" s="1"/>
      <c r="G435" s="1"/>
      <c r="I435" s="123" t="s">
        <v>34</v>
      </c>
      <c r="J435" s="124">
        <f>J131+J320+J228+J272</f>
        <v>9877000</v>
      </c>
      <c r="K435" s="124">
        <f>K131+K320+K228+K272</f>
        <v>9927000</v>
      </c>
      <c r="L435" s="124">
        <f>L131+L320+L228+L272</f>
        <v>6610167.0999999996</v>
      </c>
    </row>
    <row r="436" spans="1:12" x14ac:dyDescent="0.2">
      <c r="A436" s="119"/>
      <c r="B436" s="164"/>
      <c r="C436" s="164"/>
      <c r="D436" s="164"/>
      <c r="E436" s="2"/>
      <c r="F436" s="1"/>
      <c r="G436" s="1"/>
      <c r="I436" s="594" t="s">
        <v>32</v>
      </c>
      <c r="J436" s="595">
        <f>J357+J318+J271+J229+J132+J389+J399+J378</f>
        <v>368920000</v>
      </c>
      <c r="K436" s="595">
        <f>K357+K318+K271+K229+K132+K389+K399+K378</f>
        <v>457692289.26999998</v>
      </c>
      <c r="L436" s="595">
        <f>L357+L318+L271+L229+L132+L389+L399+L378</f>
        <v>282068875.38999999</v>
      </c>
    </row>
    <row r="437" spans="1:12" x14ac:dyDescent="0.2">
      <c r="A437" s="165"/>
      <c r="B437" s="166"/>
      <c r="C437" s="166"/>
      <c r="D437" s="166"/>
      <c r="E437" s="2"/>
      <c r="F437" s="1"/>
      <c r="G437" s="1"/>
      <c r="I437" s="117" t="s">
        <v>33</v>
      </c>
      <c r="J437" s="162">
        <f>J358+J319+J273+J230+J133</f>
        <v>264499000</v>
      </c>
      <c r="K437" s="162">
        <f>K358+K319+K273+K230+K133</f>
        <v>415548679.05000007</v>
      </c>
      <c r="L437" s="162">
        <f>L358+L319+L273+L230+L133</f>
        <v>415344020.99000007</v>
      </c>
    </row>
    <row r="438" spans="1:12" x14ac:dyDescent="0.2">
      <c r="A438" s="165"/>
      <c r="B438" s="166"/>
      <c r="C438" s="166"/>
      <c r="D438" s="166"/>
      <c r="E438" s="2"/>
      <c r="F438" s="1"/>
      <c r="G438" s="1"/>
      <c r="I438" s="38" t="s">
        <v>138</v>
      </c>
      <c r="J438" s="181">
        <f t="shared" ref="J438:L439" si="51">J414</f>
        <v>28300000</v>
      </c>
      <c r="K438" s="181">
        <f t="shared" si="51"/>
        <v>20400000</v>
      </c>
      <c r="L438" s="181">
        <f t="shared" si="51"/>
        <v>4375877.42</v>
      </c>
    </row>
    <row r="439" spans="1:12" x14ac:dyDescent="0.2">
      <c r="A439" s="165"/>
      <c r="B439" s="166"/>
      <c r="C439" s="166"/>
      <c r="D439" s="166"/>
      <c r="E439" s="2"/>
      <c r="F439" s="5"/>
      <c r="G439" s="5"/>
      <c r="I439" s="38" t="s">
        <v>139</v>
      </c>
      <c r="J439" s="181">
        <f t="shared" si="51"/>
        <v>16206000</v>
      </c>
      <c r="K439" s="181">
        <f t="shared" si="51"/>
        <v>19206000</v>
      </c>
      <c r="L439" s="181">
        <f t="shared" si="51"/>
        <v>5414447.5</v>
      </c>
    </row>
    <row r="440" spans="1:12" x14ac:dyDescent="0.2">
      <c r="A440" s="118"/>
      <c r="B440" s="104"/>
      <c r="C440" s="104"/>
      <c r="D440" s="104"/>
      <c r="E440" s="2"/>
      <c r="F440" s="5"/>
      <c r="G440" s="5"/>
      <c r="I440" s="38" t="s">
        <v>401</v>
      </c>
      <c r="J440" s="4">
        <f>J416</f>
        <v>0</v>
      </c>
      <c r="K440" s="4">
        <f t="shared" ref="K440:L440" si="52">K416</f>
        <v>20000</v>
      </c>
      <c r="L440" s="4">
        <f t="shared" si="52"/>
        <v>20000</v>
      </c>
    </row>
    <row r="441" spans="1:12" x14ac:dyDescent="0.2">
      <c r="A441" s="118"/>
      <c r="B441" s="104"/>
      <c r="C441" s="104"/>
      <c r="D441" s="104"/>
      <c r="E441" s="2"/>
      <c r="F441" s="5"/>
      <c r="G441" s="5"/>
      <c r="I441" s="38" t="s">
        <v>247</v>
      </c>
      <c r="J441" s="4">
        <f>J417+J368</f>
        <v>10500000</v>
      </c>
      <c r="K441" s="4">
        <f t="shared" ref="K441:L441" si="53">K417+K368</f>
        <v>415091</v>
      </c>
      <c r="L441" s="4">
        <f t="shared" si="53"/>
        <v>369864.32999999996</v>
      </c>
    </row>
    <row r="442" spans="1:12" ht="15.75" x14ac:dyDescent="0.25">
      <c r="E442" s="5"/>
      <c r="F442" s="5"/>
      <c r="G442" s="5"/>
      <c r="J442" s="519">
        <f>SUM(J435:J441)</f>
        <v>698302000</v>
      </c>
      <c r="K442" s="519">
        <f>SUM(K435:K441)</f>
        <v>923209059.32000005</v>
      </c>
      <c r="L442" s="519">
        <f>SUM(L435:L441)</f>
        <v>714203252.73000002</v>
      </c>
    </row>
    <row r="443" spans="1:12" x14ac:dyDescent="0.2">
      <c r="E443" s="5"/>
      <c r="F443" s="5"/>
      <c r="G443" s="5"/>
      <c r="I443" s="7"/>
      <c r="J443" s="7"/>
      <c r="K443" s="7"/>
    </row>
    <row r="444" spans="1:12" x14ac:dyDescent="0.2">
      <c r="E444" s="5"/>
      <c r="F444" s="5"/>
      <c r="G444" s="5"/>
      <c r="K444" s="4"/>
    </row>
    <row r="445" spans="1:12" x14ac:dyDescent="0.2">
      <c r="E445" s="5"/>
      <c r="F445" s="5"/>
      <c r="G445" s="5"/>
    </row>
    <row r="446" spans="1:12" x14ac:dyDescent="0.2">
      <c r="E446" s="5"/>
    </row>
    <row r="447" spans="1:12" x14ac:dyDescent="0.2">
      <c r="E447" s="5"/>
    </row>
    <row r="448" spans="1:12" x14ac:dyDescent="0.2">
      <c r="E448" s="5"/>
    </row>
  </sheetData>
  <pageMargins left="0.78740157480314965" right="0.78740157480314965" top="0.98425196850393704" bottom="0.98425196850393704" header="0.51181102362204722" footer="0.51181102362204722"/>
  <pageSetup paperSize="9" scale="45" firstPageNumber="169" fitToHeight="5" orientation="portrait" useFirstPageNumber="1" r:id="rId1"/>
  <headerFooter alignWithMargins="0"/>
  <rowBreaks count="5" manualBreakCount="5">
    <brk id="55" max="3" man="1"/>
    <brk id="135" max="3" man="1"/>
    <brk id="232" max="3" man="1"/>
    <brk id="324" max="3" man="1"/>
    <brk id="437" max="4" man="1"/>
  </rowBreaks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N313"/>
  <sheetViews>
    <sheetView showGridLines="0" view="pageBreakPreview" topLeftCell="A227" zoomScaleNormal="100" zoomScaleSheetLayoutView="100" workbookViewId="0">
      <selection activeCell="I25" sqref="I25"/>
    </sheetView>
  </sheetViews>
  <sheetFormatPr defaultColWidth="9.140625" defaultRowHeight="12.75" x14ac:dyDescent="0.2"/>
  <cols>
    <col min="1" max="1" width="77.7109375" style="242" customWidth="1"/>
    <col min="2" max="2" width="17.140625" style="242" customWidth="1"/>
    <col min="3" max="3" width="19.85546875" style="242" customWidth="1"/>
    <col min="4" max="4" width="19.7109375" style="242" customWidth="1"/>
    <col min="5" max="5" width="7.5703125" style="243" customWidth="1"/>
    <col min="6" max="6" width="9.28515625" style="244" customWidth="1"/>
    <col min="7" max="7" width="24.42578125" style="245" customWidth="1"/>
    <col min="8" max="8" width="15.42578125" style="245" customWidth="1"/>
    <col min="9" max="9" width="17.140625" style="242" customWidth="1"/>
    <col min="10" max="10" width="18.28515625" style="242" customWidth="1"/>
    <col min="11" max="11" width="20.7109375" style="242" customWidth="1"/>
    <col min="12" max="12" width="17.5703125" style="242" customWidth="1"/>
    <col min="13" max="13" width="9.140625" style="242"/>
    <col min="14" max="14" width="19" style="242" customWidth="1"/>
    <col min="15" max="15" width="15.42578125" style="242" customWidth="1"/>
    <col min="16" max="16384" width="9.140625" style="242"/>
  </cols>
  <sheetData>
    <row r="1" spans="1:11" s="238" customFormat="1" ht="18" x14ac:dyDescent="0.25">
      <c r="A1" s="234" t="s">
        <v>312</v>
      </c>
      <c r="B1" s="234"/>
      <c r="C1" s="234"/>
      <c r="D1" s="234"/>
      <c r="E1" s="234"/>
      <c r="F1" s="235"/>
      <c r="G1" s="236"/>
      <c r="H1" s="237"/>
    </row>
    <row r="2" spans="1:11" s="241" customFormat="1" ht="15.75" x14ac:dyDescent="0.25">
      <c r="A2" s="239" t="s">
        <v>98</v>
      </c>
      <c r="B2" s="240"/>
      <c r="C2" s="240"/>
      <c r="D2" s="240"/>
      <c r="E2" s="240"/>
      <c r="F2" s="235"/>
      <c r="G2" s="236"/>
      <c r="H2" s="237"/>
    </row>
    <row r="3" spans="1:11" ht="12" customHeight="1" x14ac:dyDescent="0.2">
      <c r="B3" s="238"/>
    </row>
    <row r="4" spans="1:11" ht="15" customHeight="1" x14ac:dyDescent="0.25">
      <c r="A4" s="246" t="s">
        <v>19</v>
      </c>
      <c r="B4" s="238"/>
    </row>
    <row r="5" spans="1:11" ht="15.75" thickBot="1" x14ac:dyDescent="0.3">
      <c r="A5" s="247" t="s">
        <v>70</v>
      </c>
      <c r="B5" s="238"/>
      <c r="D5" s="248"/>
      <c r="E5" s="249" t="s">
        <v>18</v>
      </c>
    </row>
    <row r="6" spans="1:11" ht="14.25" thickTop="1" thickBot="1" x14ac:dyDescent="0.25">
      <c r="A6" s="250" t="s">
        <v>5</v>
      </c>
      <c r="B6" s="251" t="s">
        <v>0</v>
      </c>
      <c r="C6" s="252" t="s">
        <v>1</v>
      </c>
      <c r="D6" s="253" t="s">
        <v>4</v>
      </c>
      <c r="E6" s="254" t="s">
        <v>6</v>
      </c>
    </row>
    <row r="7" spans="1:11" ht="15.75" thickTop="1" x14ac:dyDescent="0.25">
      <c r="A7" s="309" t="s">
        <v>7</v>
      </c>
      <c r="B7" s="310">
        <f>SUM(B8:B37)</f>
        <v>95356000</v>
      </c>
      <c r="C7" s="310">
        <f>SUM(C8:C37)</f>
        <v>104275028.93999997</v>
      </c>
      <c r="D7" s="310">
        <f>SUM(D8:D37)</f>
        <v>86498285.370000005</v>
      </c>
      <c r="E7" s="542">
        <f>D7/C7*100</f>
        <v>82.952060765930142</v>
      </c>
      <c r="H7" s="258"/>
      <c r="I7" s="259"/>
      <c r="J7" s="260"/>
      <c r="K7" s="261"/>
    </row>
    <row r="8" spans="1:11" x14ac:dyDescent="0.2">
      <c r="A8" s="583" t="s">
        <v>374</v>
      </c>
      <c r="B8" s="441">
        <v>5000000</v>
      </c>
      <c r="C8" s="408">
        <v>140450.95000000001</v>
      </c>
      <c r="D8" s="408">
        <v>0</v>
      </c>
      <c r="E8" s="264">
        <f t="shared" ref="E8:E37" si="0">D8/C8*100</f>
        <v>0</v>
      </c>
      <c r="G8" s="265" t="s">
        <v>375</v>
      </c>
      <c r="H8" s="258"/>
      <c r="I8" s="259"/>
      <c r="J8" s="260"/>
      <c r="K8" s="261"/>
    </row>
    <row r="9" spans="1:11" s="269" customFormat="1" x14ac:dyDescent="0.2">
      <c r="A9" s="640" t="s">
        <v>494</v>
      </c>
      <c r="B9" s="441">
        <v>16272000</v>
      </c>
      <c r="C9" s="408">
        <v>18390952</v>
      </c>
      <c r="D9" s="408">
        <v>10663464.74</v>
      </c>
      <c r="E9" s="264">
        <f t="shared" ref="E9:E12" si="1">D9/C9*100</f>
        <v>57.98212479701975</v>
      </c>
      <c r="F9" s="266">
        <v>100661</v>
      </c>
      <c r="G9" s="265" t="s">
        <v>71</v>
      </c>
      <c r="H9" s="268"/>
    </row>
    <row r="10" spans="1:11" s="269" customFormat="1" x14ac:dyDescent="0.2">
      <c r="A10" s="645"/>
      <c r="B10" s="441">
        <v>6272000</v>
      </c>
      <c r="C10" s="408">
        <v>12228927.27</v>
      </c>
      <c r="D10" s="408">
        <v>10353641.640000001</v>
      </c>
      <c r="E10" s="264">
        <f t="shared" si="1"/>
        <v>84.665166546533897</v>
      </c>
      <c r="F10" s="266">
        <v>100661</v>
      </c>
      <c r="G10" s="397" t="s">
        <v>346</v>
      </c>
      <c r="H10" s="268"/>
    </row>
    <row r="11" spans="1:11" s="269" customFormat="1" ht="25.5" x14ac:dyDescent="0.2">
      <c r="A11" s="600" t="s">
        <v>495</v>
      </c>
      <c r="B11" s="441">
        <v>500000</v>
      </c>
      <c r="C11" s="408">
        <v>729900</v>
      </c>
      <c r="D11" s="408">
        <v>608509</v>
      </c>
      <c r="E11" s="264">
        <f t="shared" si="1"/>
        <v>83.368817646252907</v>
      </c>
      <c r="F11" s="266">
        <v>101147</v>
      </c>
      <c r="G11" s="265" t="s">
        <v>344</v>
      </c>
      <c r="H11" s="268"/>
    </row>
    <row r="12" spans="1:11" s="269" customFormat="1" ht="25.5" x14ac:dyDescent="0.2">
      <c r="A12" s="600" t="s">
        <v>496</v>
      </c>
      <c r="B12" s="441">
        <v>500000</v>
      </c>
      <c r="C12" s="408">
        <v>500000</v>
      </c>
      <c r="D12" s="408">
        <v>99800</v>
      </c>
      <c r="E12" s="264">
        <f t="shared" si="1"/>
        <v>19.96</v>
      </c>
      <c r="F12" s="266">
        <v>101164</v>
      </c>
      <c r="G12" s="265" t="s">
        <v>345</v>
      </c>
      <c r="H12" s="268"/>
    </row>
    <row r="13" spans="1:11" s="269" customFormat="1" x14ac:dyDescent="0.2">
      <c r="A13" s="640" t="s">
        <v>497</v>
      </c>
      <c r="B13" s="441">
        <v>14222000</v>
      </c>
      <c r="C13" s="408">
        <v>23065753.329999998</v>
      </c>
      <c r="D13" s="408">
        <v>23043826.48</v>
      </c>
      <c r="E13" s="264">
        <f t="shared" si="0"/>
        <v>99.904937637690423</v>
      </c>
      <c r="F13" s="266">
        <v>101315</v>
      </c>
      <c r="G13" s="265" t="s">
        <v>71</v>
      </c>
      <c r="H13" s="268"/>
    </row>
    <row r="14" spans="1:11" s="269" customFormat="1" x14ac:dyDescent="0.2">
      <c r="A14" s="645"/>
      <c r="B14" s="441">
        <v>4000000</v>
      </c>
      <c r="C14" s="408">
        <v>100225.46</v>
      </c>
      <c r="D14" s="408">
        <v>100225.46</v>
      </c>
      <c r="E14" s="264">
        <f t="shared" si="0"/>
        <v>100</v>
      </c>
      <c r="F14" s="266">
        <v>101315</v>
      </c>
      <c r="G14" s="397" t="s">
        <v>346</v>
      </c>
      <c r="H14" s="268"/>
    </row>
    <row r="15" spans="1:11" s="269" customFormat="1" x14ac:dyDescent="0.2">
      <c r="A15" s="640" t="s">
        <v>498</v>
      </c>
      <c r="B15" s="441">
        <v>4300000</v>
      </c>
      <c r="C15" s="408">
        <v>140000</v>
      </c>
      <c r="D15" s="408">
        <v>1000</v>
      </c>
      <c r="E15" s="264">
        <f t="shared" si="0"/>
        <v>0.7142857142857143</v>
      </c>
      <c r="F15" s="266">
        <v>101361</v>
      </c>
      <c r="G15" s="265" t="s">
        <v>71</v>
      </c>
      <c r="H15" s="268"/>
    </row>
    <row r="16" spans="1:11" s="269" customFormat="1" x14ac:dyDescent="0.2">
      <c r="A16" s="645"/>
      <c r="B16" s="441">
        <v>3000000</v>
      </c>
      <c r="C16" s="408">
        <v>0</v>
      </c>
      <c r="D16" s="408">
        <v>0</v>
      </c>
      <c r="E16" s="264">
        <v>0</v>
      </c>
      <c r="F16" s="266">
        <v>101361</v>
      </c>
      <c r="G16" s="397" t="s">
        <v>346</v>
      </c>
      <c r="H16" s="270">
        <f>C16-D16</f>
        <v>0</v>
      </c>
    </row>
    <row r="17" spans="1:8" s="269" customFormat="1" x14ac:dyDescent="0.2">
      <c r="A17" s="640" t="s">
        <v>499</v>
      </c>
      <c r="B17" s="441">
        <v>18793000</v>
      </c>
      <c r="C17" s="408">
        <v>16487360.42</v>
      </c>
      <c r="D17" s="408">
        <v>16361112.439999999</v>
      </c>
      <c r="E17" s="264">
        <f t="shared" ref="E17:E18" si="2">D17/C17*100</f>
        <v>99.23427415435853</v>
      </c>
      <c r="F17" s="266">
        <v>101363</v>
      </c>
      <c r="G17" s="265" t="s">
        <v>71</v>
      </c>
      <c r="H17" s="268"/>
    </row>
    <row r="18" spans="1:8" s="269" customFormat="1" x14ac:dyDescent="0.2">
      <c r="A18" s="645"/>
      <c r="B18" s="441">
        <v>3909000</v>
      </c>
      <c r="C18" s="408">
        <v>3686074.71</v>
      </c>
      <c r="D18" s="408">
        <v>3673135.63</v>
      </c>
      <c r="E18" s="264">
        <f t="shared" si="2"/>
        <v>99.648974016590131</v>
      </c>
      <c r="F18" s="266">
        <v>101363</v>
      </c>
      <c r="G18" s="397" t="s">
        <v>346</v>
      </c>
      <c r="H18" s="270">
        <f>C18-D18</f>
        <v>12939.080000000075</v>
      </c>
    </row>
    <row r="19" spans="1:8" s="269" customFormat="1" ht="25.5" customHeight="1" x14ac:dyDescent="0.2">
      <c r="A19" s="558" t="s">
        <v>500</v>
      </c>
      <c r="B19" s="441">
        <v>500000</v>
      </c>
      <c r="C19" s="408">
        <v>500000</v>
      </c>
      <c r="D19" s="408">
        <v>186735</v>
      </c>
      <c r="E19" s="264">
        <f t="shared" si="0"/>
        <v>37.347000000000001</v>
      </c>
      <c r="F19" s="266">
        <v>101400</v>
      </c>
      <c r="G19" s="265" t="s">
        <v>345</v>
      </c>
      <c r="H19" s="270"/>
    </row>
    <row r="20" spans="1:8" s="269" customFormat="1" ht="25.5" customHeight="1" x14ac:dyDescent="0.2">
      <c r="A20" s="640" t="s">
        <v>501</v>
      </c>
      <c r="B20" s="441">
        <v>1373000</v>
      </c>
      <c r="C20" s="408">
        <v>1266887.92</v>
      </c>
      <c r="D20" s="408">
        <v>1082388.24</v>
      </c>
      <c r="E20" s="264">
        <f t="shared" si="0"/>
        <v>85.436779600834782</v>
      </c>
      <c r="F20" s="266">
        <v>101445</v>
      </c>
      <c r="G20" s="265" t="s">
        <v>71</v>
      </c>
      <c r="H20" s="270"/>
    </row>
    <row r="21" spans="1:8" s="269" customFormat="1" x14ac:dyDescent="0.2">
      <c r="A21" s="645"/>
      <c r="B21" s="441">
        <v>1725000</v>
      </c>
      <c r="C21" s="408">
        <v>1681971.57</v>
      </c>
      <c r="D21" s="408">
        <v>1678866.16</v>
      </c>
      <c r="E21" s="264">
        <f t="shared" si="0"/>
        <v>99.815370838878081</v>
      </c>
      <c r="F21" s="266">
        <v>101445</v>
      </c>
      <c r="G21" s="397" t="s">
        <v>167</v>
      </c>
      <c r="H21" s="270">
        <f t="shared" ref="H21:H25" si="3">C21-D21</f>
        <v>3105.410000000149</v>
      </c>
    </row>
    <row r="22" spans="1:8" s="269" customFormat="1" x14ac:dyDescent="0.2">
      <c r="A22" s="640" t="s">
        <v>284</v>
      </c>
      <c r="B22" s="441">
        <v>2090000</v>
      </c>
      <c r="C22" s="408">
        <v>2147858.4900000002</v>
      </c>
      <c r="D22" s="408">
        <v>2120450.19</v>
      </c>
      <c r="E22" s="264">
        <f t="shared" si="0"/>
        <v>98.723924312164527</v>
      </c>
      <c r="F22" s="266">
        <v>101451</v>
      </c>
      <c r="G22" s="265" t="s">
        <v>71</v>
      </c>
      <c r="H22" s="270"/>
    </row>
    <row r="23" spans="1:8" s="269" customFormat="1" x14ac:dyDescent="0.2">
      <c r="A23" s="645"/>
      <c r="B23" s="441">
        <v>1200000</v>
      </c>
      <c r="C23" s="408">
        <v>1075270.22</v>
      </c>
      <c r="D23" s="408">
        <v>1074409.8400000001</v>
      </c>
      <c r="E23" s="264">
        <f t="shared" si="0"/>
        <v>99.919984764387877</v>
      </c>
      <c r="F23" s="266">
        <v>101451</v>
      </c>
      <c r="G23" s="397" t="s">
        <v>346</v>
      </c>
      <c r="H23" s="270">
        <f t="shared" si="3"/>
        <v>860.37999999988824</v>
      </c>
    </row>
    <row r="24" spans="1:8" s="269" customFormat="1" ht="25.5" x14ac:dyDescent="0.2">
      <c r="A24" s="598" t="s">
        <v>502</v>
      </c>
      <c r="B24" s="441">
        <v>500000</v>
      </c>
      <c r="C24" s="408">
        <v>500000</v>
      </c>
      <c r="D24" s="408">
        <v>102850</v>
      </c>
      <c r="E24" s="264">
        <f t="shared" si="0"/>
        <v>20.57</v>
      </c>
      <c r="F24" s="266">
        <v>101467</v>
      </c>
      <c r="G24" s="265" t="s">
        <v>347</v>
      </c>
      <c r="H24" s="270"/>
    </row>
    <row r="25" spans="1:8" s="269" customFormat="1" x14ac:dyDescent="0.2">
      <c r="A25" s="560" t="s">
        <v>503</v>
      </c>
      <c r="B25" s="441">
        <v>0</v>
      </c>
      <c r="C25" s="408">
        <v>310000</v>
      </c>
      <c r="D25" s="408">
        <v>4840</v>
      </c>
      <c r="E25" s="264">
        <f t="shared" si="0"/>
        <v>1.5612903225806452</v>
      </c>
      <c r="F25" s="266">
        <v>101474</v>
      </c>
      <c r="G25" s="265" t="s">
        <v>71</v>
      </c>
      <c r="H25" s="270">
        <f t="shared" si="3"/>
        <v>305160</v>
      </c>
    </row>
    <row r="26" spans="1:8" s="269" customFormat="1" x14ac:dyDescent="0.2">
      <c r="A26" s="597" t="s">
        <v>504</v>
      </c>
      <c r="B26" s="441">
        <v>7500000</v>
      </c>
      <c r="C26" s="408">
        <v>9215677.2200000007</v>
      </c>
      <c r="D26" s="408">
        <v>9215266.6300000008</v>
      </c>
      <c r="E26" s="264">
        <f t="shared" si="0"/>
        <v>99.995544657324714</v>
      </c>
      <c r="F26" s="266">
        <v>101548</v>
      </c>
      <c r="G26" s="265" t="s">
        <v>71</v>
      </c>
      <c r="H26" s="270"/>
    </row>
    <row r="27" spans="1:8" s="269" customFormat="1" x14ac:dyDescent="0.2">
      <c r="A27" s="597" t="s">
        <v>505</v>
      </c>
      <c r="B27" s="441">
        <v>500000</v>
      </c>
      <c r="C27" s="408">
        <v>200000</v>
      </c>
      <c r="D27" s="408">
        <v>0</v>
      </c>
      <c r="E27" s="264">
        <f t="shared" si="0"/>
        <v>0</v>
      </c>
      <c r="F27" s="266">
        <v>101584</v>
      </c>
      <c r="G27" s="265" t="s">
        <v>71</v>
      </c>
      <c r="H27" s="270"/>
    </row>
    <row r="28" spans="1:8" s="269" customFormat="1" x14ac:dyDescent="0.2">
      <c r="A28" s="597" t="s">
        <v>506</v>
      </c>
      <c r="B28" s="441">
        <v>500000</v>
      </c>
      <c r="C28" s="408">
        <v>500000</v>
      </c>
      <c r="D28" s="408">
        <v>263600</v>
      </c>
      <c r="E28" s="264">
        <f t="shared" si="0"/>
        <v>52.72</v>
      </c>
      <c r="F28" s="266">
        <v>101585</v>
      </c>
      <c r="G28" s="265" t="s">
        <v>345</v>
      </c>
      <c r="H28" s="270"/>
    </row>
    <row r="29" spans="1:8" s="269" customFormat="1" x14ac:dyDescent="0.2">
      <c r="A29" s="597" t="s">
        <v>507</v>
      </c>
      <c r="B29" s="441">
        <v>800000</v>
      </c>
      <c r="C29" s="408">
        <v>800000</v>
      </c>
      <c r="D29" s="408">
        <v>337200</v>
      </c>
      <c r="E29" s="264">
        <f t="shared" si="0"/>
        <v>42.15</v>
      </c>
      <c r="F29" s="266">
        <v>101586</v>
      </c>
      <c r="G29" s="265" t="s">
        <v>345</v>
      </c>
      <c r="H29" s="270"/>
    </row>
    <row r="30" spans="1:8" s="269" customFormat="1" x14ac:dyDescent="0.2">
      <c r="A30" s="597" t="s">
        <v>508</v>
      </c>
      <c r="B30" s="441">
        <v>500000</v>
      </c>
      <c r="C30" s="408">
        <v>500000</v>
      </c>
      <c r="D30" s="408">
        <v>0</v>
      </c>
      <c r="E30" s="264">
        <f t="shared" si="0"/>
        <v>0</v>
      </c>
      <c r="F30" s="266">
        <v>101587</v>
      </c>
      <c r="G30" s="265" t="s">
        <v>345</v>
      </c>
      <c r="H30" s="270"/>
    </row>
    <row r="31" spans="1:8" s="269" customFormat="1" ht="25.5" x14ac:dyDescent="0.2">
      <c r="A31" s="560" t="s">
        <v>509</v>
      </c>
      <c r="B31" s="441">
        <v>200000</v>
      </c>
      <c r="C31" s="408">
        <v>5813612.2800000003</v>
      </c>
      <c r="D31" s="408">
        <v>5044173.92</v>
      </c>
      <c r="E31" s="264">
        <f t="shared" si="0"/>
        <v>86.764883467598565</v>
      </c>
      <c r="F31" s="266">
        <v>101558</v>
      </c>
      <c r="G31" s="508" t="s">
        <v>128</v>
      </c>
      <c r="H31" s="270"/>
    </row>
    <row r="32" spans="1:8" s="269" customFormat="1" ht="25.5" x14ac:dyDescent="0.2">
      <c r="A32" s="560" t="s">
        <v>285</v>
      </c>
      <c r="B32" s="441">
        <v>200000</v>
      </c>
      <c r="C32" s="408">
        <v>200000</v>
      </c>
      <c r="D32" s="408">
        <v>0</v>
      </c>
      <c r="E32" s="264">
        <f t="shared" si="0"/>
        <v>0</v>
      </c>
      <c r="F32" s="266">
        <v>101559</v>
      </c>
      <c r="G32" s="508" t="s">
        <v>128</v>
      </c>
      <c r="H32" s="270"/>
    </row>
    <row r="33" spans="1:8" s="269" customFormat="1" ht="25.5" x14ac:dyDescent="0.2">
      <c r="A33" s="560" t="s">
        <v>286</v>
      </c>
      <c r="B33" s="441">
        <v>200000</v>
      </c>
      <c r="C33" s="408">
        <v>200000</v>
      </c>
      <c r="D33" s="408">
        <v>0</v>
      </c>
      <c r="E33" s="264">
        <f t="shared" si="0"/>
        <v>0</v>
      </c>
      <c r="F33" s="266">
        <v>101560</v>
      </c>
      <c r="G33" s="508" t="s">
        <v>128</v>
      </c>
      <c r="H33" s="270"/>
    </row>
    <row r="34" spans="1:8" s="269" customFormat="1" x14ac:dyDescent="0.2">
      <c r="A34" s="560" t="s">
        <v>510</v>
      </c>
      <c r="B34" s="441">
        <v>200000</v>
      </c>
      <c r="C34" s="408">
        <v>2690317.1</v>
      </c>
      <c r="D34" s="408">
        <v>0</v>
      </c>
      <c r="E34" s="264">
        <f t="shared" si="0"/>
        <v>0</v>
      </c>
      <c r="F34" s="266">
        <v>101561</v>
      </c>
      <c r="G34" s="508" t="s">
        <v>128</v>
      </c>
      <c r="H34" s="270"/>
    </row>
    <row r="35" spans="1:8" s="269" customFormat="1" x14ac:dyDescent="0.2">
      <c r="A35" s="560" t="s">
        <v>287</v>
      </c>
      <c r="B35" s="441">
        <v>200000</v>
      </c>
      <c r="C35" s="408">
        <v>200000</v>
      </c>
      <c r="D35" s="408">
        <v>0</v>
      </c>
      <c r="E35" s="264">
        <f t="shared" si="0"/>
        <v>0</v>
      </c>
      <c r="F35" s="266">
        <v>101562</v>
      </c>
      <c r="G35" s="508" t="s">
        <v>128</v>
      </c>
      <c r="H35" s="270"/>
    </row>
    <row r="36" spans="1:8" s="269" customFormat="1" ht="25.5" x14ac:dyDescent="0.2">
      <c r="A36" s="618" t="s">
        <v>511</v>
      </c>
      <c r="B36" s="442">
        <v>200000</v>
      </c>
      <c r="C36" s="303">
        <v>200000</v>
      </c>
      <c r="D36" s="303">
        <v>0</v>
      </c>
      <c r="E36" s="573">
        <f t="shared" si="0"/>
        <v>0</v>
      </c>
      <c r="F36" s="266">
        <v>101565</v>
      </c>
      <c r="G36" s="508" t="s">
        <v>128</v>
      </c>
      <c r="H36" s="270"/>
    </row>
    <row r="37" spans="1:8" s="269" customFormat="1" ht="13.5" thickBot="1" x14ac:dyDescent="0.25">
      <c r="A37" s="561" t="s">
        <v>288</v>
      </c>
      <c r="B37" s="444">
        <v>200000</v>
      </c>
      <c r="C37" s="409">
        <v>803790</v>
      </c>
      <c r="D37" s="409">
        <v>482790</v>
      </c>
      <c r="E37" s="391">
        <f t="shared" si="0"/>
        <v>60.064195872056139</v>
      </c>
      <c r="F37" s="266">
        <v>101566</v>
      </c>
      <c r="G37" s="508" t="s">
        <v>128</v>
      </c>
      <c r="H37" s="270"/>
    </row>
    <row r="38" spans="1:8" s="269" customFormat="1" ht="13.5" thickTop="1" x14ac:dyDescent="0.2">
      <c r="A38" s="272"/>
      <c r="B38" s="273"/>
      <c r="C38" s="274"/>
      <c r="D38" s="274"/>
      <c r="E38" s="275"/>
      <c r="F38" s="266"/>
      <c r="G38" s="271"/>
      <c r="H38" s="270"/>
    </row>
    <row r="39" spans="1:8" ht="15.75" thickBot="1" x14ac:dyDescent="0.25">
      <c r="A39" s="276" t="s">
        <v>29</v>
      </c>
      <c r="B39" s="445"/>
      <c r="C39" s="277"/>
      <c r="D39" s="278"/>
      <c r="E39" s="279" t="s">
        <v>18</v>
      </c>
    </row>
    <row r="40" spans="1:8" ht="14.25" thickTop="1" thickBot="1" x14ac:dyDescent="0.25">
      <c r="A40" s="250" t="s">
        <v>5</v>
      </c>
      <c r="B40" s="251" t="s">
        <v>0</v>
      </c>
      <c r="C40" s="252" t="s">
        <v>1</v>
      </c>
      <c r="D40" s="253" t="s">
        <v>4</v>
      </c>
      <c r="E40" s="254" t="s">
        <v>6</v>
      </c>
    </row>
    <row r="41" spans="1:8" ht="15" x14ac:dyDescent="0.2">
      <c r="A41" s="255" t="s">
        <v>7</v>
      </c>
      <c r="B41" s="256">
        <f>SUM(B42:B61)</f>
        <v>1941000</v>
      </c>
      <c r="C41" s="256">
        <f>SUM(C42:C61)</f>
        <v>9594523.5</v>
      </c>
      <c r="D41" s="256">
        <f>SUM(D42:D61)</f>
        <v>8345520</v>
      </c>
      <c r="E41" s="280">
        <f>D41/C41*100</f>
        <v>86.982120581600526</v>
      </c>
      <c r="F41" s="243"/>
    </row>
    <row r="42" spans="1:8" x14ac:dyDescent="0.2">
      <c r="A42" s="584"/>
      <c r="B42" s="443">
        <v>0</v>
      </c>
      <c r="C42" s="304">
        <v>242570.7</v>
      </c>
      <c r="D42" s="304">
        <v>217326.1</v>
      </c>
      <c r="E42" s="264">
        <f t="shared" ref="E42:E61" si="4">D42/C42*100</f>
        <v>89.592889825523031</v>
      </c>
      <c r="F42" s="266"/>
      <c r="G42" s="281" t="s">
        <v>383</v>
      </c>
    </row>
    <row r="43" spans="1:8" x14ac:dyDescent="0.2">
      <c r="A43" s="619"/>
      <c r="B43" s="443">
        <v>100000</v>
      </c>
      <c r="C43" s="304">
        <v>100000</v>
      </c>
      <c r="D43" s="304">
        <v>0</v>
      </c>
      <c r="E43" s="264">
        <f t="shared" si="4"/>
        <v>0</v>
      </c>
      <c r="F43" s="266">
        <v>1100</v>
      </c>
      <c r="G43" s="281" t="s">
        <v>174</v>
      </c>
    </row>
    <row r="44" spans="1:8" x14ac:dyDescent="0.2">
      <c r="A44" s="619"/>
      <c r="B44" s="443">
        <v>100000</v>
      </c>
      <c r="C44" s="304">
        <v>100000</v>
      </c>
      <c r="D44" s="304">
        <v>0</v>
      </c>
      <c r="E44" s="264">
        <f t="shared" si="4"/>
        <v>0</v>
      </c>
      <c r="F44" s="266">
        <v>1112</v>
      </c>
      <c r="G44" s="281" t="s">
        <v>174</v>
      </c>
    </row>
    <row r="45" spans="1:8" x14ac:dyDescent="0.2">
      <c r="A45" s="619"/>
      <c r="B45" s="443">
        <v>100000</v>
      </c>
      <c r="C45" s="304">
        <v>100000</v>
      </c>
      <c r="D45" s="304">
        <v>0</v>
      </c>
      <c r="E45" s="264">
        <f t="shared" si="4"/>
        <v>0</v>
      </c>
      <c r="F45" s="266">
        <v>1113</v>
      </c>
      <c r="G45" s="281" t="s">
        <v>174</v>
      </c>
    </row>
    <row r="46" spans="1:8" x14ac:dyDescent="0.2">
      <c r="A46" s="619"/>
      <c r="B46" s="443">
        <v>100000</v>
      </c>
      <c r="C46" s="304">
        <v>100000</v>
      </c>
      <c r="D46" s="304">
        <v>0</v>
      </c>
      <c r="E46" s="264">
        <f t="shared" si="4"/>
        <v>0</v>
      </c>
      <c r="F46" s="266">
        <v>1121</v>
      </c>
      <c r="G46" s="281" t="s">
        <v>174</v>
      </c>
    </row>
    <row r="47" spans="1:8" x14ac:dyDescent="0.2">
      <c r="A47" s="544"/>
      <c r="B47" s="443">
        <v>285000</v>
      </c>
      <c r="C47" s="304">
        <v>285000</v>
      </c>
      <c r="D47" s="304">
        <v>184162</v>
      </c>
      <c r="E47" s="264">
        <f t="shared" si="4"/>
        <v>64.618245614035089</v>
      </c>
      <c r="F47" s="266">
        <v>1123</v>
      </c>
      <c r="G47" s="281" t="s">
        <v>174</v>
      </c>
    </row>
    <row r="48" spans="1:8" x14ac:dyDescent="0.2">
      <c r="A48" s="619"/>
      <c r="B48" s="443">
        <v>100000</v>
      </c>
      <c r="C48" s="304">
        <v>100000</v>
      </c>
      <c r="D48" s="304">
        <v>0</v>
      </c>
      <c r="E48" s="264">
        <f t="shared" si="4"/>
        <v>0</v>
      </c>
      <c r="F48" s="266">
        <v>1125</v>
      </c>
      <c r="G48" s="281" t="s">
        <v>174</v>
      </c>
    </row>
    <row r="49" spans="1:12" x14ac:dyDescent="0.2">
      <c r="A49" s="544"/>
      <c r="B49" s="443">
        <v>185000</v>
      </c>
      <c r="C49" s="304">
        <v>185000</v>
      </c>
      <c r="D49" s="304">
        <v>172299.4</v>
      </c>
      <c r="E49" s="264">
        <f t="shared" si="4"/>
        <v>93.134810810810805</v>
      </c>
      <c r="F49" s="266">
        <v>1132</v>
      </c>
      <c r="G49" s="281" t="s">
        <v>174</v>
      </c>
    </row>
    <row r="50" spans="1:12" x14ac:dyDescent="0.2">
      <c r="A50" s="350"/>
      <c r="B50" s="443">
        <v>286000</v>
      </c>
      <c r="C50" s="304">
        <v>286000</v>
      </c>
      <c r="D50" s="304">
        <v>178916.7</v>
      </c>
      <c r="E50" s="264">
        <f t="shared" si="4"/>
        <v>62.558286713286712</v>
      </c>
      <c r="F50" s="266">
        <v>1134</v>
      </c>
      <c r="G50" s="281" t="s">
        <v>174</v>
      </c>
    </row>
    <row r="51" spans="1:12" x14ac:dyDescent="0.2">
      <c r="A51" s="619"/>
      <c r="B51" s="443">
        <v>100000</v>
      </c>
      <c r="C51" s="304">
        <v>100000</v>
      </c>
      <c r="D51" s="304">
        <v>0</v>
      </c>
      <c r="E51" s="264">
        <f t="shared" si="4"/>
        <v>0</v>
      </c>
      <c r="F51" s="266">
        <v>1138</v>
      </c>
      <c r="G51" s="281" t="s">
        <v>174</v>
      </c>
    </row>
    <row r="52" spans="1:12" x14ac:dyDescent="0.2">
      <c r="A52" s="350"/>
      <c r="B52" s="443">
        <v>100000</v>
      </c>
      <c r="C52" s="304">
        <v>100000</v>
      </c>
      <c r="D52" s="304">
        <v>30250</v>
      </c>
      <c r="E52" s="264">
        <f t="shared" si="4"/>
        <v>30.25</v>
      </c>
      <c r="F52" s="266">
        <v>1150</v>
      </c>
      <c r="G52" s="281" t="s">
        <v>174</v>
      </c>
    </row>
    <row r="53" spans="1:12" ht="12.75" customHeight="1" x14ac:dyDescent="0.2">
      <c r="A53" s="536"/>
      <c r="B53" s="442">
        <v>100000</v>
      </c>
      <c r="C53" s="303">
        <v>100000</v>
      </c>
      <c r="D53" s="303">
        <v>0</v>
      </c>
      <c r="E53" s="264">
        <f t="shared" si="4"/>
        <v>0</v>
      </c>
      <c r="F53" s="266">
        <v>1200</v>
      </c>
      <c r="G53" s="281" t="s">
        <v>174</v>
      </c>
    </row>
    <row r="54" spans="1:12" ht="12.75" customHeight="1" x14ac:dyDescent="0.2">
      <c r="A54" s="620"/>
      <c r="B54" s="442">
        <v>100000</v>
      </c>
      <c r="C54" s="303">
        <v>100000</v>
      </c>
      <c r="D54" s="303">
        <v>0</v>
      </c>
      <c r="E54" s="264">
        <f t="shared" si="4"/>
        <v>0</v>
      </c>
      <c r="F54" s="266">
        <v>1205</v>
      </c>
      <c r="G54" s="281" t="s">
        <v>174</v>
      </c>
    </row>
    <row r="55" spans="1:12" ht="12.75" customHeight="1" x14ac:dyDescent="0.2">
      <c r="A55" s="620"/>
      <c r="B55" s="442">
        <v>100000</v>
      </c>
      <c r="C55" s="303">
        <v>100000</v>
      </c>
      <c r="D55" s="303">
        <v>0</v>
      </c>
      <c r="E55" s="264">
        <f t="shared" si="4"/>
        <v>0</v>
      </c>
      <c r="F55" s="266">
        <v>1218</v>
      </c>
      <c r="G55" s="281" t="s">
        <v>174</v>
      </c>
    </row>
    <row r="56" spans="1:12" ht="12.75" customHeight="1" x14ac:dyDescent="0.2">
      <c r="A56" s="620"/>
      <c r="B56" s="442">
        <v>185000</v>
      </c>
      <c r="C56" s="303">
        <v>185000</v>
      </c>
      <c r="D56" s="303">
        <v>151613</v>
      </c>
      <c r="E56" s="264">
        <f t="shared" si="4"/>
        <v>81.952972972972972</v>
      </c>
      <c r="F56" s="266">
        <v>1226</v>
      </c>
      <c r="G56" s="281" t="s">
        <v>174</v>
      </c>
    </row>
    <row r="57" spans="1:12" ht="12.75" customHeight="1" x14ac:dyDescent="0.2">
      <c r="A57" s="620"/>
      <c r="B57" s="442">
        <v>0</v>
      </c>
      <c r="C57" s="303">
        <v>1657458</v>
      </c>
      <c r="D57" s="303">
        <v>1657458</v>
      </c>
      <c r="E57" s="573">
        <f t="shared" si="4"/>
        <v>100</v>
      </c>
      <c r="F57" s="266">
        <v>1123</v>
      </c>
      <c r="G57" s="344" t="s">
        <v>384</v>
      </c>
    </row>
    <row r="58" spans="1:12" ht="12.75" customHeight="1" x14ac:dyDescent="0.2">
      <c r="A58" s="536"/>
      <c r="B58" s="442">
        <v>0</v>
      </c>
      <c r="C58" s="303">
        <v>1550694</v>
      </c>
      <c r="D58" s="303">
        <v>1550694</v>
      </c>
      <c r="E58" s="263">
        <f t="shared" si="4"/>
        <v>100</v>
      </c>
      <c r="F58" s="266">
        <v>1132</v>
      </c>
      <c r="G58" s="344" t="s">
        <v>384</v>
      </c>
      <c r="I58" s="262" t="s">
        <v>38</v>
      </c>
      <c r="J58" s="288">
        <f>B9+B11+B12+B13+B15+B17+B19+B20+B22+B24+B25+B26+B27+B29+B28+B30+B8</f>
        <v>73850000</v>
      </c>
      <c r="K58" s="288">
        <f t="shared" ref="K58:L58" si="5">C9+C11+C12+C13+C15+C17+C19+C20+C22+C24+C25+C26+C27+C29+C28+C30+C8</f>
        <v>75394840.330000013</v>
      </c>
      <c r="L58" s="288">
        <f t="shared" si="5"/>
        <v>64091042.719999999</v>
      </c>
    </row>
    <row r="59" spans="1:12" ht="12.75" customHeight="1" x14ac:dyDescent="0.2">
      <c r="A59" s="536"/>
      <c r="B59" s="442">
        <v>0</v>
      </c>
      <c r="C59" s="303">
        <v>1610250</v>
      </c>
      <c r="D59" s="303">
        <v>1610250</v>
      </c>
      <c r="E59" s="263">
        <f t="shared" si="4"/>
        <v>100</v>
      </c>
      <c r="F59" s="266">
        <v>1142</v>
      </c>
      <c r="G59" s="344" t="s">
        <v>384</v>
      </c>
      <c r="J59" s="540">
        <f>B10+B14+B16+B18+B21+B23</f>
        <v>20106000</v>
      </c>
      <c r="K59" s="540">
        <f t="shared" ref="K59:L59" si="6">C10+C14+C16+C18+C21+C23</f>
        <v>18772469.23</v>
      </c>
      <c r="L59" s="540">
        <f t="shared" si="6"/>
        <v>16880278.73</v>
      </c>
    </row>
    <row r="60" spans="1:12" ht="12.75" customHeight="1" x14ac:dyDescent="0.2">
      <c r="A60" s="620"/>
      <c r="B60" s="442">
        <v>0</v>
      </c>
      <c r="C60" s="303">
        <v>1228033.8</v>
      </c>
      <c r="D60" s="303">
        <v>1228033.8</v>
      </c>
      <c r="E60" s="263">
        <f t="shared" si="4"/>
        <v>100</v>
      </c>
      <c r="F60" s="266">
        <v>1226</v>
      </c>
      <c r="G60" s="344" t="s">
        <v>385</v>
      </c>
      <c r="J60" s="540"/>
      <c r="K60" s="540"/>
      <c r="L60" s="540"/>
    </row>
    <row r="61" spans="1:12" ht="12.75" customHeight="1" thickBot="1" x14ac:dyDescent="0.25">
      <c r="A61" s="533"/>
      <c r="B61" s="444">
        <v>0</v>
      </c>
      <c r="C61" s="409">
        <v>1364517</v>
      </c>
      <c r="D61" s="409">
        <v>1364517</v>
      </c>
      <c r="E61" s="391">
        <f t="shared" si="4"/>
        <v>100</v>
      </c>
      <c r="F61" s="266">
        <v>1226</v>
      </c>
      <c r="G61" s="344" t="s">
        <v>384</v>
      </c>
      <c r="I61" s="396" t="s">
        <v>35</v>
      </c>
      <c r="J61" s="394">
        <f>B31+B32+B33+B34+B35+B37+B36</f>
        <v>1400000</v>
      </c>
      <c r="K61" s="394">
        <f t="shared" ref="K61:L61" si="7">C31+C32+C33+C34+C35+C37+C36</f>
        <v>10107719.380000001</v>
      </c>
      <c r="L61" s="394">
        <f t="shared" si="7"/>
        <v>5526963.9199999999</v>
      </c>
    </row>
    <row r="62" spans="1:12" s="282" customFormat="1" ht="13.5" thickTop="1" x14ac:dyDescent="0.2">
      <c r="A62" s="286"/>
      <c r="B62" s="273"/>
      <c r="C62" s="287"/>
      <c r="D62" s="273"/>
      <c r="E62" s="275"/>
      <c r="F62" s="284"/>
      <c r="G62" s="283"/>
      <c r="I62" s="289" t="s">
        <v>33</v>
      </c>
      <c r="J62" s="290">
        <f>SUM(B42:B56)</f>
        <v>1941000</v>
      </c>
      <c r="K62" s="290">
        <f>SUM(C42:C56)</f>
        <v>2183570.7000000002</v>
      </c>
      <c r="L62" s="290">
        <f>SUM(D42:D56)</f>
        <v>934567.2</v>
      </c>
    </row>
    <row r="63" spans="1:12" s="282" customFormat="1" x14ac:dyDescent="0.2">
      <c r="A63" s="286"/>
      <c r="B63" s="273"/>
      <c r="C63" s="287"/>
      <c r="D63" s="273"/>
      <c r="E63" s="275"/>
      <c r="F63" s="284"/>
      <c r="G63" s="283"/>
      <c r="H63" s="281"/>
      <c r="J63" s="482">
        <f>B57+B58+B59+B60+B61</f>
        <v>0</v>
      </c>
      <c r="K63" s="482">
        <f>C57+C58+C59+C60+C61</f>
        <v>7410952.7999999998</v>
      </c>
      <c r="L63" s="482">
        <f>D57+D58+D59+D60+D61</f>
        <v>7410952.7999999998</v>
      </c>
    </row>
    <row r="64" spans="1:12" s="296" customFormat="1" ht="18.75" thickBot="1" x14ac:dyDescent="0.3">
      <c r="A64" s="291" t="s">
        <v>20</v>
      </c>
      <c r="B64" s="446">
        <f>SUM(B41,B7)</f>
        <v>97297000</v>
      </c>
      <c r="C64" s="446">
        <f>SUM(C41,C7)</f>
        <v>113869552.43999997</v>
      </c>
      <c r="D64" s="446">
        <f>SUM(D41,D7)</f>
        <v>94843805.370000005</v>
      </c>
      <c r="E64" s="293">
        <f>D64/C64*100</f>
        <v>83.291629182414681</v>
      </c>
      <c r="F64" s="294"/>
      <c r="G64" s="295"/>
      <c r="H64" s="295"/>
      <c r="I64" s="282"/>
      <c r="J64" s="267">
        <f>J58+J59+J61+J62+J63</f>
        <v>97297000</v>
      </c>
      <c r="K64" s="267">
        <f>K58+K59+K61+K62+K63</f>
        <v>113869552.44000001</v>
      </c>
      <c r="L64" s="267">
        <f>L58+L59+L61+L62+L63</f>
        <v>94843805.370000005</v>
      </c>
    </row>
    <row r="65" spans="1:9" ht="13.5" thickTop="1" x14ac:dyDescent="0.2">
      <c r="A65" s="297"/>
      <c r="B65" s="273"/>
      <c r="C65" s="298"/>
      <c r="D65" s="299"/>
      <c r="E65" s="275"/>
      <c r="F65" s="243"/>
    </row>
    <row r="66" spans="1:9" x14ac:dyDescent="0.2">
      <c r="A66" s="297"/>
      <c r="B66" s="273"/>
      <c r="C66" s="298"/>
      <c r="D66" s="299"/>
      <c r="E66" s="275"/>
      <c r="F66" s="243"/>
    </row>
    <row r="67" spans="1:9" ht="18" x14ac:dyDescent="0.25">
      <c r="A67" s="246" t="s">
        <v>28</v>
      </c>
      <c r="B67" s="238"/>
    </row>
    <row r="68" spans="1:9" ht="15" customHeight="1" thickBot="1" x14ac:dyDescent="0.3">
      <c r="A68" s="247" t="s">
        <v>70</v>
      </c>
      <c r="B68" s="238"/>
      <c r="E68" s="249" t="s">
        <v>18</v>
      </c>
    </row>
    <row r="69" spans="1:9" ht="14.25" thickTop="1" thickBot="1" x14ac:dyDescent="0.25">
      <c r="A69" s="250" t="s">
        <v>5</v>
      </c>
      <c r="B69" s="251" t="s">
        <v>0</v>
      </c>
      <c r="C69" s="252" t="s">
        <v>1</v>
      </c>
      <c r="D69" s="253" t="s">
        <v>4</v>
      </c>
      <c r="E69" s="254" t="s">
        <v>6</v>
      </c>
    </row>
    <row r="70" spans="1:9" ht="15.75" thickTop="1" x14ac:dyDescent="0.25">
      <c r="A70" s="309" t="s">
        <v>9</v>
      </c>
      <c r="B70" s="310">
        <f>SUM(B71:B104)</f>
        <v>247133000</v>
      </c>
      <c r="C70" s="310">
        <f>SUM(C71:C104)</f>
        <v>357485851.95000005</v>
      </c>
      <c r="D70" s="310">
        <f>SUM(D71:D104)</f>
        <v>277202035.78000003</v>
      </c>
      <c r="E70" s="542">
        <f>D70/C70*100</f>
        <v>77.542099713297475</v>
      </c>
      <c r="F70" s="300"/>
      <c r="I70" s="262"/>
    </row>
    <row r="71" spans="1:9" s="302" customFormat="1" ht="25.5" x14ac:dyDescent="0.2">
      <c r="A71" s="600" t="s">
        <v>512</v>
      </c>
      <c r="B71" s="443">
        <v>5000000</v>
      </c>
      <c r="C71" s="304">
        <v>2813560.41</v>
      </c>
      <c r="D71" s="304">
        <v>983090</v>
      </c>
      <c r="E71" s="407">
        <f>D71/C71*100</f>
        <v>34.941137091134998</v>
      </c>
      <c r="F71" s="467">
        <v>101009</v>
      </c>
      <c r="G71" s="265" t="s">
        <v>348</v>
      </c>
      <c r="H71" s="553"/>
    </row>
    <row r="72" spans="1:9" s="302" customFormat="1" x14ac:dyDescent="0.2">
      <c r="A72" s="559" t="s">
        <v>57</v>
      </c>
      <c r="B72" s="443">
        <v>0</v>
      </c>
      <c r="C72" s="304">
        <v>530569.59</v>
      </c>
      <c r="D72" s="304">
        <v>271569.19</v>
      </c>
      <c r="E72" s="264">
        <f>D72/C72*100</f>
        <v>51.184461966619686</v>
      </c>
      <c r="F72" s="467">
        <v>101137</v>
      </c>
      <c r="G72" s="265" t="s">
        <v>71</v>
      </c>
    </row>
    <row r="73" spans="1:9" s="302" customFormat="1" ht="25.5" customHeight="1" x14ac:dyDescent="0.2">
      <c r="A73" s="647" t="s">
        <v>513</v>
      </c>
      <c r="B73" s="442">
        <v>3626000</v>
      </c>
      <c r="C73" s="303">
        <v>11122700</v>
      </c>
      <c r="D73" s="303">
        <v>7384117.3300000001</v>
      </c>
      <c r="E73" s="263">
        <f t="shared" ref="E73:E76" si="8">D73/C73*100</f>
        <v>66.387813480539791</v>
      </c>
      <c r="F73" s="467">
        <v>101181</v>
      </c>
      <c r="G73" s="265" t="s">
        <v>71</v>
      </c>
      <c r="H73" s="305"/>
    </row>
    <row r="74" spans="1:9" s="302" customFormat="1" x14ac:dyDescent="0.2">
      <c r="A74" s="648"/>
      <c r="B74" s="442">
        <v>8661000</v>
      </c>
      <c r="C74" s="303">
        <v>16842149.780000001</v>
      </c>
      <c r="D74" s="303">
        <v>13851960.039999999</v>
      </c>
      <c r="E74" s="263">
        <f t="shared" si="8"/>
        <v>82.245795346441795</v>
      </c>
      <c r="F74" s="467">
        <v>101181</v>
      </c>
      <c r="G74" s="397" t="s">
        <v>167</v>
      </c>
      <c r="H74" s="305"/>
    </row>
    <row r="75" spans="1:9" s="302" customFormat="1" x14ac:dyDescent="0.2">
      <c r="A75" s="601" t="s">
        <v>289</v>
      </c>
      <c r="B75" s="442">
        <v>1330000</v>
      </c>
      <c r="C75" s="303">
        <v>0</v>
      </c>
      <c r="D75" s="303">
        <v>0</v>
      </c>
      <c r="E75" s="263">
        <v>0</v>
      </c>
      <c r="F75" s="467">
        <v>101201</v>
      </c>
      <c r="G75" s="265" t="s">
        <v>71</v>
      </c>
      <c r="H75" s="305"/>
    </row>
    <row r="76" spans="1:9" s="302" customFormat="1" ht="25.5" x14ac:dyDescent="0.2">
      <c r="A76" s="601" t="s">
        <v>290</v>
      </c>
      <c r="B76" s="442">
        <v>0</v>
      </c>
      <c r="C76" s="303">
        <v>36800</v>
      </c>
      <c r="D76" s="303">
        <v>36800</v>
      </c>
      <c r="E76" s="263">
        <f t="shared" si="8"/>
        <v>100</v>
      </c>
      <c r="F76" s="467">
        <v>101327</v>
      </c>
      <c r="G76" s="265" t="s">
        <v>71</v>
      </c>
      <c r="H76" s="305"/>
    </row>
    <row r="77" spans="1:9" s="308" customFormat="1" ht="25.5" customHeight="1" x14ac:dyDescent="0.2">
      <c r="A77" s="596" t="s">
        <v>120</v>
      </c>
      <c r="B77" s="534">
        <v>1500000</v>
      </c>
      <c r="C77" s="534">
        <v>1436520</v>
      </c>
      <c r="D77" s="534">
        <v>0</v>
      </c>
      <c r="E77" s="263">
        <f t="shared" ref="E77:E104" si="9">D77/C77*100</f>
        <v>0</v>
      </c>
      <c r="F77" s="301" t="s">
        <v>110</v>
      </c>
      <c r="G77" s="265" t="s">
        <v>348</v>
      </c>
      <c r="H77" s="307"/>
    </row>
    <row r="78" spans="1:9" s="308" customFormat="1" x14ac:dyDescent="0.2">
      <c r="A78" s="640" t="s">
        <v>291</v>
      </c>
      <c r="B78" s="534">
        <v>7097000</v>
      </c>
      <c r="C78" s="534">
        <v>4335619.5999999996</v>
      </c>
      <c r="D78" s="534">
        <v>4002509.93</v>
      </c>
      <c r="E78" s="263">
        <f t="shared" si="9"/>
        <v>92.316907368902946</v>
      </c>
      <c r="F78" s="301" t="s">
        <v>200</v>
      </c>
      <c r="G78" s="265" t="s">
        <v>71</v>
      </c>
      <c r="H78" s="307"/>
    </row>
    <row r="79" spans="1:9" s="308" customFormat="1" x14ac:dyDescent="0.2">
      <c r="A79" s="645"/>
      <c r="B79" s="534">
        <v>22694000</v>
      </c>
      <c r="C79" s="534">
        <v>18458528.550000001</v>
      </c>
      <c r="D79" s="534">
        <v>18458528.550000001</v>
      </c>
      <c r="E79" s="263">
        <f t="shared" si="9"/>
        <v>100</v>
      </c>
      <c r="F79" s="301" t="s">
        <v>200</v>
      </c>
      <c r="G79" s="397" t="s">
        <v>167</v>
      </c>
      <c r="H79" s="307"/>
    </row>
    <row r="80" spans="1:9" s="308" customFormat="1" x14ac:dyDescent="0.2">
      <c r="A80" s="646" t="s">
        <v>514</v>
      </c>
      <c r="B80" s="534">
        <v>24793000</v>
      </c>
      <c r="C80" s="534">
        <v>0</v>
      </c>
      <c r="D80" s="534">
        <v>0</v>
      </c>
      <c r="E80" s="263">
        <v>0</v>
      </c>
      <c r="F80" s="301" t="s">
        <v>349</v>
      </c>
      <c r="G80" s="397" t="s">
        <v>167</v>
      </c>
      <c r="H80" s="307"/>
    </row>
    <row r="81" spans="1:8" s="308" customFormat="1" x14ac:dyDescent="0.2">
      <c r="A81" s="646"/>
      <c r="B81" s="534">
        <v>5207000</v>
      </c>
      <c r="C81" s="534">
        <v>2344000</v>
      </c>
      <c r="D81" s="534">
        <v>1778700</v>
      </c>
      <c r="E81" s="263">
        <f t="shared" si="9"/>
        <v>75.88310580204778</v>
      </c>
      <c r="F81" s="301" t="s">
        <v>349</v>
      </c>
      <c r="G81" s="265" t="s">
        <v>71</v>
      </c>
      <c r="H81" s="307"/>
    </row>
    <row r="82" spans="1:8" s="308" customFormat="1" ht="25.5" x14ac:dyDescent="0.2">
      <c r="A82" s="597" t="s">
        <v>274</v>
      </c>
      <c r="B82" s="534">
        <v>1000000</v>
      </c>
      <c r="C82" s="534">
        <v>0</v>
      </c>
      <c r="D82" s="534">
        <v>0</v>
      </c>
      <c r="E82" s="263">
        <v>0</v>
      </c>
      <c r="F82" s="301" t="s">
        <v>183</v>
      </c>
      <c r="G82" s="265" t="s">
        <v>348</v>
      </c>
      <c r="H82" s="307"/>
    </row>
    <row r="83" spans="1:8" s="308" customFormat="1" ht="25.5" x14ac:dyDescent="0.2">
      <c r="A83" s="597" t="s">
        <v>275</v>
      </c>
      <c r="B83" s="534">
        <v>1500000</v>
      </c>
      <c r="C83" s="534">
        <v>1500000</v>
      </c>
      <c r="D83" s="534">
        <v>205020</v>
      </c>
      <c r="E83" s="263">
        <f t="shared" si="9"/>
        <v>13.667999999999999</v>
      </c>
      <c r="F83" s="301" t="s">
        <v>184</v>
      </c>
      <c r="G83" s="265" t="s">
        <v>348</v>
      </c>
      <c r="H83" s="307"/>
    </row>
    <row r="84" spans="1:8" s="308" customFormat="1" ht="25.5" x14ac:dyDescent="0.2">
      <c r="A84" s="597" t="s">
        <v>515</v>
      </c>
      <c r="B84" s="534">
        <v>1500000</v>
      </c>
      <c r="C84" s="534">
        <v>1563480</v>
      </c>
      <c r="D84" s="534">
        <v>617164</v>
      </c>
      <c r="E84" s="263">
        <f t="shared" si="9"/>
        <v>39.47373807148157</v>
      </c>
      <c r="F84" s="301" t="s">
        <v>351</v>
      </c>
      <c r="G84" s="265" t="s">
        <v>348</v>
      </c>
      <c r="H84" s="307"/>
    </row>
    <row r="85" spans="1:8" s="308" customFormat="1" ht="25.5" x14ac:dyDescent="0.2">
      <c r="A85" s="597" t="s">
        <v>516</v>
      </c>
      <c r="B85" s="534">
        <v>600000</v>
      </c>
      <c r="C85" s="534">
        <v>572280</v>
      </c>
      <c r="D85" s="534">
        <v>381150</v>
      </c>
      <c r="E85" s="263">
        <f t="shared" si="9"/>
        <v>66.602013000629071</v>
      </c>
      <c r="F85" s="301" t="s">
        <v>352</v>
      </c>
      <c r="G85" s="265" t="s">
        <v>348</v>
      </c>
      <c r="H85" s="307"/>
    </row>
    <row r="86" spans="1:8" s="308" customFormat="1" ht="25.5" x14ac:dyDescent="0.2">
      <c r="A86" s="597" t="s">
        <v>517</v>
      </c>
      <c r="B86" s="534">
        <v>2000000</v>
      </c>
      <c r="C86" s="534">
        <v>11241062.25</v>
      </c>
      <c r="D86" s="534">
        <v>9151932.25</v>
      </c>
      <c r="E86" s="263">
        <f t="shared" si="9"/>
        <v>81.415190543936362</v>
      </c>
      <c r="F86" s="301" t="s">
        <v>353</v>
      </c>
      <c r="G86" s="265" t="s">
        <v>354</v>
      </c>
      <c r="H86" s="307"/>
    </row>
    <row r="87" spans="1:8" s="308" customFormat="1" ht="25.5" x14ac:dyDescent="0.2">
      <c r="A87" s="597" t="s">
        <v>518</v>
      </c>
      <c r="B87" s="534">
        <v>1500000</v>
      </c>
      <c r="C87" s="534">
        <v>1500000</v>
      </c>
      <c r="D87" s="534">
        <v>113720.64</v>
      </c>
      <c r="E87" s="263">
        <f t="shared" si="9"/>
        <v>7.5813759999999997</v>
      </c>
      <c r="F87" s="301" t="s">
        <v>355</v>
      </c>
      <c r="G87" s="265" t="s">
        <v>348</v>
      </c>
      <c r="H87" s="307"/>
    </row>
    <row r="88" spans="1:8" s="308" customFormat="1" ht="25.5" x14ac:dyDescent="0.2">
      <c r="A88" s="597" t="s">
        <v>519</v>
      </c>
      <c r="B88" s="534">
        <v>2000000</v>
      </c>
      <c r="C88" s="534">
        <v>2000000</v>
      </c>
      <c r="D88" s="534">
        <v>271040</v>
      </c>
      <c r="E88" s="263">
        <f t="shared" si="9"/>
        <v>13.552</v>
      </c>
      <c r="F88" s="301" t="s">
        <v>356</v>
      </c>
      <c r="G88" s="265" t="s">
        <v>348</v>
      </c>
      <c r="H88" s="307"/>
    </row>
    <row r="89" spans="1:8" s="308" customFormat="1" x14ac:dyDescent="0.2">
      <c r="A89" s="640" t="s">
        <v>520</v>
      </c>
      <c r="B89" s="534">
        <v>29050000</v>
      </c>
      <c r="C89" s="534">
        <v>29050000</v>
      </c>
      <c r="D89" s="534">
        <v>26360801.09</v>
      </c>
      <c r="E89" s="263">
        <f t="shared" si="9"/>
        <v>90.742860895008604</v>
      </c>
      <c r="F89" s="301" t="s">
        <v>350</v>
      </c>
      <c r="G89" s="265" t="s">
        <v>156</v>
      </c>
      <c r="H89" s="307"/>
    </row>
    <row r="90" spans="1:8" s="308" customFormat="1" x14ac:dyDescent="0.2">
      <c r="A90" s="645"/>
      <c r="B90" s="534">
        <v>80000000</v>
      </c>
      <c r="C90" s="534">
        <v>60704373.909999996</v>
      </c>
      <c r="D90" s="534">
        <v>60704373.909999996</v>
      </c>
      <c r="E90" s="263">
        <f t="shared" si="9"/>
        <v>100</v>
      </c>
      <c r="F90" s="301" t="s">
        <v>350</v>
      </c>
      <c r="G90" s="397" t="s">
        <v>167</v>
      </c>
      <c r="H90" s="307"/>
    </row>
    <row r="91" spans="1:8" s="308" customFormat="1" ht="25.5" x14ac:dyDescent="0.2">
      <c r="A91" s="600" t="s">
        <v>521</v>
      </c>
      <c r="B91" s="534">
        <v>2000000</v>
      </c>
      <c r="C91" s="534">
        <v>2000000</v>
      </c>
      <c r="D91" s="534">
        <v>352110</v>
      </c>
      <c r="E91" s="263">
        <f t="shared" si="9"/>
        <v>17.605499999999999</v>
      </c>
      <c r="F91" s="301" t="s">
        <v>357</v>
      </c>
      <c r="G91" s="265" t="s">
        <v>348</v>
      </c>
      <c r="H91" s="307"/>
    </row>
    <row r="92" spans="1:8" s="308" customFormat="1" ht="25.5" x14ac:dyDescent="0.2">
      <c r="A92" s="600" t="s">
        <v>522</v>
      </c>
      <c r="B92" s="534">
        <v>2000000</v>
      </c>
      <c r="C92" s="534">
        <v>2000000</v>
      </c>
      <c r="D92" s="534">
        <v>240790</v>
      </c>
      <c r="E92" s="263">
        <f t="shared" si="9"/>
        <v>12.0395</v>
      </c>
      <c r="F92" s="301" t="s">
        <v>358</v>
      </c>
      <c r="G92" s="265" t="s">
        <v>348</v>
      </c>
      <c r="H92" s="307"/>
    </row>
    <row r="93" spans="1:8" s="308" customFormat="1" ht="25.5" x14ac:dyDescent="0.2">
      <c r="A93" s="600" t="s">
        <v>523</v>
      </c>
      <c r="B93" s="534">
        <v>0</v>
      </c>
      <c r="C93" s="534">
        <v>18000</v>
      </c>
      <c r="D93" s="534">
        <v>14225</v>
      </c>
      <c r="E93" s="263">
        <f t="shared" si="9"/>
        <v>79.027777777777771</v>
      </c>
      <c r="F93" s="301" t="s">
        <v>359</v>
      </c>
      <c r="G93" s="265" t="s">
        <v>348</v>
      </c>
      <c r="H93" s="307"/>
    </row>
    <row r="94" spans="1:8" s="308" customFormat="1" x14ac:dyDescent="0.2">
      <c r="A94" s="600" t="s">
        <v>524</v>
      </c>
      <c r="B94" s="534">
        <v>0</v>
      </c>
      <c r="C94" s="534">
        <v>2809070</v>
      </c>
      <c r="D94" s="534">
        <v>1474762</v>
      </c>
      <c r="E94" s="263">
        <f t="shared" si="9"/>
        <v>52.500008899742625</v>
      </c>
      <c r="F94" s="301" t="s">
        <v>360</v>
      </c>
      <c r="G94" s="265" t="s">
        <v>348</v>
      </c>
      <c r="H94" s="307"/>
    </row>
    <row r="95" spans="1:8" s="308" customFormat="1" x14ac:dyDescent="0.2">
      <c r="A95" s="652" t="s">
        <v>168</v>
      </c>
      <c r="B95" s="534">
        <v>27602000</v>
      </c>
      <c r="C95" s="534">
        <v>22334257.5</v>
      </c>
      <c r="D95" s="534">
        <v>22334257.5</v>
      </c>
      <c r="E95" s="263">
        <f t="shared" si="9"/>
        <v>100</v>
      </c>
      <c r="F95" s="301" t="s">
        <v>160</v>
      </c>
      <c r="G95" s="397" t="s">
        <v>159</v>
      </c>
      <c r="H95" s="307"/>
    </row>
    <row r="96" spans="1:8" s="308" customFormat="1" x14ac:dyDescent="0.2">
      <c r="A96" s="653"/>
      <c r="B96" s="534">
        <v>3486000</v>
      </c>
      <c r="C96" s="534">
        <v>3186525</v>
      </c>
      <c r="D96" s="534">
        <v>2481584.1</v>
      </c>
      <c r="E96" s="263">
        <f t="shared" si="9"/>
        <v>77.877440158166038</v>
      </c>
      <c r="F96" s="301" t="s">
        <v>160</v>
      </c>
      <c r="G96" s="508" t="s">
        <v>128</v>
      </c>
      <c r="H96" s="307"/>
    </row>
    <row r="97" spans="1:12" s="308" customFormat="1" x14ac:dyDescent="0.2">
      <c r="A97" s="652" t="s">
        <v>292</v>
      </c>
      <c r="B97" s="543">
        <v>10987000</v>
      </c>
      <c r="C97" s="543">
        <v>10987000</v>
      </c>
      <c r="D97" s="543">
        <v>10094706.76</v>
      </c>
      <c r="E97" s="263">
        <f t="shared" si="9"/>
        <v>91.878645308091379</v>
      </c>
      <c r="F97" s="301" t="s">
        <v>219</v>
      </c>
      <c r="G97" s="508" t="s">
        <v>218</v>
      </c>
      <c r="H97" s="307"/>
    </row>
    <row r="98" spans="1:12" s="308" customFormat="1" x14ac:dyDescent="0.2">
      <c r="A98" s="661"/>
      <c r="B98" s="543">
        <v>0</v>
      </c>
      <c r="C98" s="543">
        <v>134236309.63</v>
      </c>
      <c r="D98" s="543">
        <v>90852361.010000005</v>
      </c>
      <c r="E98" s="263">
        <f t="shared" si="9"/>
        <v>67.680913800758816</v>
      </c>
      <c r="F98" s="301" t="s">
        <v>219</v>
      </c>
      <c r="G98" s="508" t="s">
        <v>377</v>
      </c>
      <c r="H98" s="307"/>
    </row>
    <row r="99" spans="1:12" s="308" customFormat="1" x14ac:dyDescent="0.2">
      <c r="A99" s="663" t="s">
        <v>293</v>
      </c>
      <c r="B99" s="543">
        <v>750000</v>
      </c>
      <c r="C99" s="543">
        <v>750000</v>
      </c>
      <c r="D99" s="543">
        <v>274840.53000000003</v>
      </c>
      <c r="E99" s="407">
        <f t="shared" si="9"/>
        <v>36.645404000000006</v>
      </c>
      <c r="F99" s="301" t="s">
        <v>221</v>
      </c>
      <c r="G99" s="508" t="s">
        <v>213</v>
      </c>
      <c r="H99" s="307"/>
      <c r="I99" s="312" t="s">
        <v>38</v>
      </c>
      <c r="J99" s="288">
        <f>B71+B72+B73+B75+B76+B77+B78+B81+B82+B83+B84+B85+B86+B87+B88+B89+B91+B92+B93+B94</f>
        <v>66910000</v>
      </c>
      <c r="K99" s="288">
        <f>C71+C72+C73+C75+C76+C77+C78+C81+C82+C83+C84+C85+C86+C87+C88+C89+C91+C92+C93+C94</f>
        <v>76873661.849999994</v>
      </c>
      <c r="L99" s="288">
        <f>D71+D72+D73+D75+D76+D77+D78+D81+D82+D83+D84+D85+D86+D87+D88+D89+D91+D92+D93+D94</f>
        <v>53639501.43</v>
      </c>
    </row>
    <row r="100" spans="1:12" s="308" customFormat="1" x14ac:dyDescent="0.2">
      <c r="A100" s="663"/>
      <c r="B100" s="543">
        <v>0</v>
      </c>
      <c r="C100" s="543">
        <v>4508808.16</v>
      </c>
      <c r="D100" s="543">
        <v>2473564.79</v>
      </c>
      <c r="E100" s="407">
        <f t="shared" si="9"/>
        <v>54.860723770514106</v>
      </c>
      <c r="F100" s="301" t="s">
        <v>221</v>
      </c>
      <c r="G100" s="508" t="s">
        <v>222</v>
      </c>
      <c r="H100" s="307"/>
      <c r="I100" s="313"/>
      <c r="J100" s="481">
        <f>B74+B79+B80+B90</f>
        <v>136148000</v>
      </c>
      <c r="K100" s="481">
        <f>C74+C79+C80+C90</f>
        <v>96005052.239999995</v>
      </c>
      <c r="L100" s="481">
        <f>D74+D79+D80+D90</f>
        <v>93014862.5</v>
      </c>
    </row>
    <row r="101" spans="1:12" s="308" customFormat="1" ht="25.5" customHeight="1" x14ac:dyDescent="0.2">
      <c r="A101" s="652" t="s">
        <v>525</v>
      </c>
      <c r="B101" s="543">
        <v>750000</v>
      </c>
      <c r="C101" s="543">
        <v>750000</v>
      </c>
      <c r="D101" s="543">
        <v>203635.73</v>
      </c>
      <c r="E101" s="407">
        <f t="shared" si="9"/>
        <v>27.15143066666667</v>
      </c>
      <c r="F101" s="301" t="s">
        <v>378</v>
      </c>
      <c r="G101" s="508" t="s">
        <v>213</v>
      </c>
      <c r="H101" s="307"/>
      <c r="I101" s="396" t="s">
        <v>35</v>
      </c>
      <c r="J101" s="394">
        <f>B96</f>
        <v>3486000</v>
      </c>
      <c r="K101" s="394">
        <f>C96</f>
        <v>3186525</v>
      </c>
      <c r="L101" s="394">
        <f>D96</f>
        <v>2481584.1</v>
      </c>
    </row>
    <row r="102" spans="1:12" s="308" customFormat="1" x14ac:dyDescent="0.2">
      <c r="A102" s="661"/>
      <c r="B102" s="543">
        <v>0</v>
      </c>
      <c r="C102" s="543">
        <v>4679033.0199999996</v>
      </c>
      <c r="D102" s="543">
        <v>1832721.43</v>
      </c>
      <c r="E102" s="407">
        <f t="shared" si="9"/>
        <v>39.168807361825372</v>
      </c>
      <c r="F102" s="301" t="s">
        <v>378</v>
      </c>
      <c r="G102" s="508" t="s">
        <v>222</v>
      </c>
      <c r="H102" s="307"/>
      <c r="J102" s="481">
        <f>B95</f>
        <v>27602000</v>
      </c>
      <c r="K102" s="481">
        <f>C95</f>
        <v>22334257.5</v>
      </c>
      <c r="L102" s="481">
        <f>D95</f>
        <v>22334257.5</v>
      </c>
    </row>
    <row r="103" spans="1:12" s="308" customFormat="1" x14ac:dyDescent="0.2">
      <c r="A103" s="640" t="s">
        <v>526</v>
      </c>
      <c r="B103" s="543">
        <v>500000</v>
      </c>
      <c r="C103" s="543">
        <v>257429.3</v>
      </c>
      <c r="D103" s="543">
        <v>0</v>
      </c>
      <c r="E103" s="407">
        <f t="shared" si="9"/>
        <v>0</v>
      </c>
      <c r="F103" s="301" t="s">
        <v>379</v>
      </c>
      <c r="G103" s="508" t="s">
        <v>213</v>
      </c>
      <c r="H103" s="307"/>
      <c r="I103" s="396" t="s">
        <v>220</v>
      </c>
      <c r="J103" s="394">
        <f t="shared" ref="J103:L104" si="10">B97</f>
        <v>10987000</v>
      </c>
      <c r="K103" s="394">
        <f t="shared" si="10"/>
        <v>10987000</v>
      </c>
      <c r="L103" s="394">
        <f t="shared" si="10"/>
        <v>10094706.76</v>
      </c>
    </row>
    <row r="104" spans="1:12" s="308" customFormat="1" ht="13.5" thickBot="1" x14ac:dyDescent="0.25">
      <c r="A104" s="641"/>
      <c r="B104" s="390">
        <v>0</v>
      </c>
      <c r="C104" s="390">
        <v>2917775.25</v>
      </c>
      <c r="D104" s="390">
        <v>0</v>
      </c>
      <c r="E104" s="391">
        <f t="shared" si="9"/>
        <v>0</v>
      </c>
      <c r="F104" s="301" t="s">
        <v>379</v>
      </c>
      <c r="G104" s="508" t="s">
        <v>380</v>
      </c>
      <c r="H104" s="307"/>
      <c r="I104" s="316"/>
      <c r="J104" s="394">
        <f t="shared" si="10"/>
        <v>0</v>
      </c>
      <c r="K104" s="394">
        <f t="shared" si="10"/>
        <v>134236309.63</v>
      </c>
      <c r="L104" s="394">
        <f t="shared" si="10"/>
        <v>90852361.010000005</v>
      </c>
    </row>
    <row r="105" spans="1:12" s="308" customFormat="1" ht="13.5" thickTop="1" x14ac:dyDescent="0.2">
      <c r="A105" s="623"/>
      <c r="B105" s="624"/>
      <c r="C105" s="624"/>
      <c r="D105" s="624"/>
      <c r="E105" s="275"/>
      <c r="F105" s="301"/>
      <c r="G105" s="508"/>
      <c r="H105" s="307"/>
      <c r="I105" s="396" t="s">
        <v>215</v>
      </c>
      <c r="J105" s="394">
        <f t="shared" ref="J105:L106" si="11">B99+B101+B103</f>
        <v>2000000</v>
      </c>
      <c r="K105" s="394">
        <f t="shared" si="11"/>
        <v>1757429.3</v>
      </c>
      <c r="L105" s="394">
        <f t="shared" si="11"/>
        <v>478476.26</v>
      </c>
    </row>
    <row r="106" spans="1:12" s="308" customFormat="1" ht="15" x14ac:dyDescent="0.25">
      <c r="A106" s="247"/>
      <c r="B106" s="238"/>
      <c r="C106" s="242"/>
      <c r="D106" s="248"/>
      <c r="E106" s="249"/>
      <c r="F106" s="306"/>
      <c r="G106" s="307"/>
      <c r="H106" s="307"/>
      <c r="I106" s="316"/>
      <c r="J106" s="394">
        <f t="shared" si="11"/>
        <v>0</v>
      </c>
      <c r="K106" s="394">
        <f t="shared" si="11"/>
        <v>12105616.43</v>
      </c>
      <c r="L106" s="394">
        <f t="shared" si="11"/>
        <v>4306286.22</v>
      </c>
    </row>
    <row r="107" spans="1:12" s="296" customFormat="1" ht="18.75" thickBot="1" x14ac:dyDescent="0.3">
      <c r="A107" s="291" t="s">
        <v>21</v>
      </c>
      <c r="B107" s="446">
        <f>SUM(B70)</f>
        <v>247133000</v>
      </c>
      <c r="C107" s="446">
        <f t="shared" ref="C107:D107" si="12">SUM(C70)</f>
        <v>357485851.95000005</v>
      </c>
      <c r="D107" s="446">
        <f t="shared" si="12"/>
        <v>277202035.78000003</v>
      </c>
      <c r="E107" s="293">
        <f>D107/C107*100</f>
        <v>77.542099713297475</v>
      </c>
      <c r="F107" s="234"/>
      <c r="G107" s="295"/>
      <c r="H107" s="295"/>
      <c r="I107" s="289"/>
      <c r="J107" s="267">
        <f>SUM(J99:J106)</f>
        <v>247133000</v>
      </c>
      <c r="K107" s="267">
        <f>SUM(K99:K106)</f>
        <v>357485851.94999999</v>
      </c>
      <c r="L107" s="267">
        <f>SUM(L99:L106)</f>
        <v>277202035.78000003</v>
      </c>
    </row>
    <row r="108" spans="1:12" s="316" customFormat="1" ht="13.5" thickTop="1" x14ac:dyDescent="0.2">
      <c r="B108" s="447"/>
      <c r="E108" s="275"/>
      <c r="F108" s="317"/>
      <c r="G108" s="258"/>
      <c r="H108" s="258"/>
    </row>
    <row r="109" spans="1:12" s="316" customFormat="1" x14ac:dyDescent="0.2">
      <c r="B109" s="447"/>
      <c r="E109" s="275"/>
      <c r="F109" s="317"/>
      <c r="G109" s="258"/>
      <c r="H109" s="258"/>
    </row>
    <row r="110" spans="1:12" ht="15" customHeight="1" x14ac:dyDescent="0.25">
      <c r="A110" s="246" t="s">
        <v>45</v>
      </c>
      <c r="B110" s="238"/>
    </row>
    <row r="111" spans="1:12" ht="15" customHeight="1" thickBot="1" x14ac:dyDescent="0.3">
      <c r="A111" s="247" t="s">
        <v>70</v>
      </c>
      <c r="B111" s="238"/>
      <c r="E111" s="249" t="s">
        <v>18</v>
      </c>
    </row>
    <row r="112" spans="1:12" ht="14.25" thickTop="1" thickBot="1" x14ac:dyDescent="0.25">
      <c r="A112" s="250" t="s">
        <v>5</v>
      </c>
      <c r="B112" s="251" t="s">
        <v>0</v>
      </c>
      <c r="C112" s="252" t="s">
        <v>1</v>
      </c>
      <c r="D112" s="253" t="s">
        <v>4</v>
      </c>
      <c r="E112" s="254" t="s">
        <v>6</v>
      </c>
    </row>
    <row r="113" spans="1:12" ht="15" x14ac:dyDescent="0.2">
      <c r="A113" s="309" t="s">
        <v>8</v>
      </c>
      <c r="B113" s="310">
        <f>SUM(B114:B119)</f>
        <v>39093000</v>
      </c>
      <c r="C113" s="310">
        <f>SUM(C114:C119)</f>
        <v>42314362.619999997</v>
      </c>
      <c r="D113" s="310">
        <f>SUM(D114:D119)</f>
        <v>41473028.75</v>
      </c>
      <c r="E113" s="311">
        <f t="shared" ref="E113:E119" si="13">D113/C113*100</f>
        <v>98.011706149149603</v>
      </c>
      <c r="F113" s="243"/>
    </row>
    <row r="114" spans="1:12" ht="25.5" x14ac:dyDescent="0.2">
      <c r="A114" s="597" t="s">
        <v>527</v>
      </c>
      <c r="B114" s="543">
        <v>0</v>
      </c>
      <c r="C114" s="543">
        <v>325544</v>
      </c>
      <c r="D114" s="543">
        <v>247808</v>
      </c>
      <c r="E114" s="407">
        <f t="shared" si="13"/>
        <v>76.121200206423708</v>
      </c>
      <c r="F114" s="318">
        <v>101189</v>
      </c>
      <c r="G114" s="265" t="s">
        <v>361</v>
      </c>
      <c r="H114" s="305"/>
    </row>
    <row r="115" spans="1:12" ht="15" customHeight="1" x14ac:dyDescent="0.2">
      <c r="A115" s="646" t="s">
        <v>169</v>
      </c>
      <c r="B115" s="543">
        <v>21911000</v>
      </c>
      <c r="C115" s="543">
        <v>41833333.619999997</v>
      </c>
      <c r="D115" s="543">
        <v>41225220.75</v>
      </c>
      <c r="E115" s="407">
        <f t="shared" si="13"/>
        <v>98.546343747013111</v>
      </c>
      <c r="F115" s="318">
        <v>101242</v>
      </c>
      <c r="G115" s="265" t="s">
        <v>71</v>
      </c>
    </row>
    <row r="116" spans="1:12" ht="15" customHeight="1" x14ac:dyDescent="0.2">
      <c r="A116" s="646"/>
      <c r="B116" s="543">
        <v>8778000</v>
      </c>
      <c r="C116" s="543">
        <v>0</v>
      </c>
      <c r="D116" s="543">
        <v>0</v>
      </c>
      <c r="E116" s="407">
        <v>0</v>
      </c>
      <c r="F116" s="318">
        <v>101242</v>
      </c>
      <c r="G116" s="397" t="s">
        <v>167</v>
      </c>
      <c r="H116" s="305"/>
    </row>
    <row r="117" spans="1:12" ht="25.5" x14ac:dyDescent="0.2">
      <c r="A117" s="564" t="s">
        <v>528</v>
      </c>
      <c r="B117" s="543">
        <v>200000</v>
      </c>
      <c r="C117" s="543">
        <v>46585</v>
      </c>
      <c r="D117" s="543">
        <v>0</v>
      </c>
      <c r="E117" s="407">
        <f t="shared" si="13"/>
        <v>0</v>
      </c>
      <c r="F117" s="318">
        <v>101326</v>
      </c>
      <c r="G117" s="265" t="s">
        <v>361</v>
      </c>
      <c r="H117" s="305"/>
    </row>
    <row r="118" spans="1:12" ht="15" customHeight="1" x14ac:dyDescent="0.2">
      <c r="A118" s="564" t="s">
        <v>294</v>
      </c>
      <c r="B118" s="543">
        <v>8204000</v>
      </c>
      <c r="C118" s="543">
        <v>0</v>
      </c>
      <c r="D118" s="543">
        <v>0</v>
      </c>
      <c r="E118" s="407">
        <v>0</v>
      </c>
      <c r="F118" s="318">
        <v>101564</v>
      </c>
      <c r="G118" s="508" t="s">
        <v>128</v>
      </c>
      <c r="H118" s="305"/>
      <c r="I118" s="312" t="s">
        <v>38</v>
      </c>
      <c r="J118" s="288">
        <f>B114+B115+B117</f>
        <v>22111000</v>
      </c>
      <c r="K118" s="288">
        <f>C114+C115+C117</f>
        <v>42205462.619999997</v>
      </c>
      <c r="L118" s="288">
        <f>D114+D115+D117</f>
        <v>41473028.75</v>
      </c>
    </row>
    <row r="119" spans="1:12" ht="15" customHeight="1" thickBot="1" x14ac:dyDescent="0.25">
      <c r="A119" s="565" t="s">
        <v>295</v>
      </c>
      <c r="B119" s="390">
        <v>0</v>
      </c>
      <c r="C119" s="390">
        <v>108900</v>
      </c>
      <c r="D119" s="390">
        <v>0</v>
      </c>
      <c r="E119" s="391">
        <f t="shared" si="13"/>
        <v>0</v>
      </c>
      <c r="F119" s="318">
        <v>101588</v>
      </c>
      <c r="G119" s="508" t="s">
        <v>128</v>
      </c>
      <c r="H119" s="305"/>
      <c r="I119" s="316"/>
      <c r="J119" s="481">
        <f>B116</f>
        <v>8778000</v>
      </c>
      <c r="K119" s="481">
        <f>C116</f>
        <v>0</v>
      </c>
      <c r="L119" s="481">
        <f>D116</f>
        <v>0</v>
      </c>
    </row>
    <row r="120" spans="1:12" ht="13.5" thickTop="1" x14ac:dyDescent="0.2">
      <c r="A120" s="319"/>
      <c r="B120" s="368"/>
      <c r="C120" s="320"/>
      <c r="D120" s="320"/>
      <c r="E120" s="275"/>
      <c r="F120" s="243"/>
      <c r="G120" s="285"/>
      <c r="I120" s="396" t="s">
        <v>35</v>
      </c>
      <c r="J120" s="394">
        <f>B118+B119</f>
        <v>8204000</v>
      </c>
      <c r="K120" s="394">
        <f>C118+C119</f>
        <v>108900</v>
      </c>
      <c r="L120" s="394">
        <f>D118+D119</f>
        <v>0</v>
      </c>
    </row>
    <row r="121" spans="1:12" s="296" customFormat="1" ht="18.75" thickBot="1" x14ac:dyDescent="0.3">
      <c r="A121" s="291" t="s">
        <v>22</v>
      </c>
      <c r="B121" s="446">
        <f>SUM(B113)</f>
        <v>39093000</v>
      </c>
      <c r="C121" s="446">
        <f t="shared" ref="C121:D121" si="14">SUM(C113)</f>
        <v>42314362.619999997</v>
      </c>
      <c r="D121" s="446">
        <f t="shared" si="14"/>
        <v>41473028.75</v>
      </c>
      <c r="E121" s="293">
        <f>D121/C121*100</f>
        <v>98.011706149149603</v>
      </c>
      <c r="F121" s="322"/>
      <c r="G121" s="295"/>
      <c r="J121" s="267">
        <f>SUM(J118:J120)</f>
        <v>39093000</v>
      </c>
      <c r="K121" s="267">
        <f>SUM(K118:K120)</f>
        <v>42314362.619999997</v>
      </c>
      <c r="L121" s="267">
        <f>SUM(L118:L120)</f>
        <v>41473028.75</v>
      </c>
    </row>
    <row r="122" spans="1:12" s="296" customFormat="1" ht="18.75" thickTop="1" x14ac:dyDescent="0.25">
      <c r="A122" s="323"/>
      <c r="B122" s="449"/>
      <c r="C122" s="324"/>
      <c r="D122" s="324"/>
      <c r="E122" s="325"/>
      <c r="F122" s="322"/>
      <c r="G122" s="295"/>
    </row>
    <row r="123" spans="1:12" s="316" customFormat="1" x14ac:dyDescent="0.2">
      <c r="B123" s="447"/>
      <c r="E123" s="275"/>
      <c r="F123" s="317"/>
      <c r="G123" s="258"/>
    </row>
    <row r="124" spans="1:12" ht="15" customHeight="1" x14ac:dyDescent="0.25">
      <c r="A124" s="246" t="s">
        <v>46</v>
      </c>
      <c r="B124" s="238"/>
    </row>
    <row r="125" spans="1:12" ht="15" customHeight="1" thickBot="1" x14ac:dyDescent="0.3">
      <c r="A125" s="247" t="s">
        <v>70</v>
      </c>
      <c r="B125" s="238"/>
      <c r="E125" s="249" t="s">
        <v>18</v>
      </c>
    </row>
    <row r="126" spans="1:12" ht="14.25" thickTop="1" thickBot="1" x14ac:dyDescent="0.25">
      <c r="A126" s="250" t="s">
        <v>5</v>
      </c>
      <c r="B126" s="251" t="s">
        <v>0</v>
      </c>
      <c r="C126" s="567" t="s">
        <v>1</v>
      </c>
      <c r="D126" s="253" t="s">
        <v>4</v>
      </c>
      <c r="E126" s="568" t="s">
        <v>6</v>
      </c>
    </row>
    <row r="127" spans="1:12" ht="15.75" thickTop="1" x14ac:dyDescent="0.25">
      <c r="A127" s="255" t="s">
        <v>11</v>
      </c>
      <c r="B127" s="256">
        <f>SUM(B128:B134)</f>
        <v>94576000</v>
      </c>
      <c r="C127" s="256">
        <f>SUM(C128:C134)</f>
        <v>43551167.909999996</v>
      </c>
      <c r="D127" s="256">
        <f>SUM(D128:D134)</f>
        <v>34839201.789999999</v>
      </c>
      <c r="E127" s="257">
        <f>D127/C127*100</f>
        <v>79.996021833436075</v>
      </c>
      <c r="F127" s="243"/>
      <c r="H127" s="305"/>
    </row>
    <row r="128" spans="1:12" s="328" customFormat="1" x14ac:dyDescent="0.2">
      <c r="A128" s="599" t="s">
        <v>74</v>
      </c>
      <c r="B128" s="480">
        <v>705000</v>
      </c>
      <c r="C128" s="480">
        <v>705000</v>
      </c>
      <c r="D128" s="543">
        <v>38108</v>
      </c>
      <c r="E128" s="410">
        <f>D128/C128*100</f>
        <v>5.4053900709219862</v>
      </c>
      <c r="F128" s="318">
        <v>100040</v>
      </c>
      <c r="G128" s="326" t="s">
        <v>41</v>
      </c>
      <c r="H128" s="327"/>
    </row>
    <row r="129" spans="1:13" s="328" customFormat="1" x14ac:dyDescent="0.2">
      <c r="A129" s="658" t="s">
        <v>296</v>
      </c>
      <c r="B129" s="480">
        <v>14049000</v>
      </c>
      <c r="C129" s="480">
        <v>1500600</v>
      </c>
      <c r="D129" s="543">
        <v>410432</v>
      </c>
      <c r="E129" s="410">
        <f>D129/C129*100</f>
        <v>27.35119285619086</v>
      </c>
      <c r="F129" s="318">
        <v>100908</v>
      </c>
      <c r="G129" s="326" t="s">
        <v>41</v>
      </c>
      <c r="H129" s="327"/>
    </row>
    <row r="130" spans="1:13" s="328" customFormat="1" x14ac:dyDescent="0.2">
      <c r="A130" s="658"/>
      <c r="B130" s="480">
        <v>39628000</v>
      </c>
      <c r="C130" s="480">
        <v>0</v>
      </c>
      <c r="D130" s="543">
        <v>0</v>
      </c>
      <c r="E130" s="410">
        <v>0</v>
      </c>
      <c r="F130" s="318">
        <v>100908</v>
      </c>
      <c r="G130" s="397" t="s">
        <v>343</v>
      </c>
      <c r="H130" s="327"/>
      <c r="I130" s="546"/>
    </row>
    <row r="131" spans="1:13" s="328" customFormat="1" x14ac:dyDescent="0.2">
      <c r="A131" s="659" t="s">
        <v>76</v>
      </c>
      <c r="B131" s="480">
        <v>1306000</v>
      </c>
      <c r="C131" s="480">
        <v>5297000</v>
      </c>
      <c r="D131" s="543">
        <v>3387083.65</v>
      </c>
      <c r="E131" s="410">
        <f>D131/C131*100</f>
        <v>63.94343307532565</v>
      </c>
      <c r="F131" s="318">
        <v>100918</v>
      </c>
      <c r="G131" s="326" t="s">
        <v>41</v>
      </c>
      <c r="H131" s="327"/>
    </row>
    <row r="132" spans="1:13" s="328" customFormat="1" x14ac:dyDescent="0.2">
      <c r="A132" s="660"/>
      <c r="B132" s="480">
        <v>5039000</v>
      </c>
      <c r="C132" s="480">
        <v>2236663.83</v>
      </c>
      <c r="D132" s="543">
        <v>2236663.83</v>
      </c>
      <c r="E132" s="410">
        <f>D132/C132*100</f>
        <v>100</v>
      </c>
      <c r="F132" s="318">
        <v>100918</v>
      </c>
      <c r="G132" s="397" t="s">
        <v>343</v>
      </c>
      <c r="H132" s="327"/>
    </row>
    <row r="133" spans="1:13" s="329" customFormat="1" x14ac:dyDescent="0.2">
      <c r="A133" s="656" t="s">
        <v>170</v>
      </c>
      <c r="B133" s="441">
        <v>18140000</v>
      </c>
      <c r="C133" s="408">
        <v>16023520.060000001</v>
      </c>
      <c r="D133" s="408">
        <v>10978530.289999999</v>
      </c>
      <c r="E133" s="410">
        <f t="shared" ref="E133:E134" si="15">D133/C133*100</f>
        <v>68.515096863179508</v>
      </c>
      <c r="F133" s="318">
        <v>101449</v>
      </c>
      <c r="G133" s="326" t="s">
        <v>41</v>
      </c>
    </row>
    <row r="134" spans="1:13" s="329" customFormat="1" ht="13.5" thickBot="1" x14ac:dyDescent="0.25">
      <c r="A134" s="657"/>
      <c r="B134" s="444">
        <v>15709000</v>
      </c>
      <c r="C134" s="409">
        <v>17788384.02</v>
      </c>
      <c r="D134" s="409">
        <v>17788384.02</v>
      </c>
      <c r="E134" s="566">
        <f t="shared" si="15"/>
        <v>100</v>
      </c>
      <c r="F134" s="318">
        <v>101449</v>
      </c>
      <c r="G134" s="397" t="s">
        <v>155</v>
      </c>
      <c r="I134" s="545"/>
    </row>
    <row r="135" spans="1:13" s="330" customFormat="1" ht="13.5" thickTop="1" x14ac:dyDescent="0.2">
      <c r="B135" s="447"/>
      <c r="E135" s="331"/>
      <c r="F135" s="332"/>
      <c r="G135" s="333"/>
      <c r="H135" s="333"/>
    </row>
    <row r="136" spans="1:13" s="330" customFormat="1" ht="15.75" thickBot="1" x14ac:dyDescent="0.25">
      <c r="A136" s="334" t="s">
        <v>42</v>
      </c>
      <c r="B136" s="238"/>
      <c r="C136" s="335"/>
      <c r="D136" s="335"/>
      <c r="E136" s="336" t="s">
        <v>18</v>
      </c>
      <c r="F136" s="332"/>
      <c r="G136" s="333"/>
      <c r="H136" s="333"/>
    </row>
    <row r="137" spans="1:13" s="330" customFormat="1" ht="14.25" thickTop="1" thickBot="1" x14ac:dyDescent="0.25">
      <c r="A137" s="337" t="s">
        <v>5</v>
      </c>
      <c r="B137" s="251" t="s">
        <v>0</v>
      </c>
      <c r="C137" s="338" t="s">
        <v>1</v>
      </c>
      <c r="D137" s="339" t="s">
        <v>4</v>
      </c>
      <c r="E137" s="340" t="s">
        <v>6</v>
      </c>
      <c r="F137" s="332"/>
      <c r="G137" s="333"/>
      <c r="H137" s="333"/>
    </row>
    <row r="138" spans="1:13" s="330" customFormat="1" ht="15.75" thickTop="1" x14ac:dyDescent="0.2">
      <c r="A138" s="341" t="s">
        <v>11</v>
      </c>
      <c r="B138" s="450">
        <f>SUM(B139:B140)</f>
        <v>26517000</v>
      </c>
      <c r="C138" s="342">
        <f>SUM(C139:C140)</f>
        <v>348169266.88</v>
      </c>
      <c r="D138" s="342">
        <f>SUM(D139:D140)</f>
        <v>348169266.88</v>
      </c>
      <c r="E138" s="343">
        <f t="shared" ref="E138:E140" si="16">D138/C138*100</f>
        <v>100</v>
      </c>
      <c r="F138" s="332"/>
      <c r="G138" s="344" t="s">
        <v>69</v>
      </c>
      <c r="H138" s="333"/>
      <c r="I138" s="326" t="s">
        <v>37</v>
      </c>
      <c r="J138" s="395">
        <f>B128+B129+B131+B133</f>
        <v>34200000</v>
      </c>
      <c r="K138" s="395">
        <f>C128+C129+C131+C133</f>
        <v>23526120.060000002</v>
      </c>
      <c r="L138" s="395">
        <f>D128+D129+D131+D133</f>
        <v>14814153.939999999</v>
      </c>
    </row>
    <row r="139" spans="1:13" s="330" customFormat="1" x14ac:dyDescent="0.2">
      <c r="A139" s="654"/>
      <c r="B139" s="441">
        <v>26517000</v>
      </c>
      <c r="C139" s="526">
        <v>0</v>
      </c>
      <c r="D139" s="526">
        <v>0</v>
      </c>
      <c r="E139" s="410">
        <v>0</v>
      </c>
      <c r="F139" s="318">
        <v>1600</v>
      </c>
      <c r="G139" s="344" t="s">
        <v>129</v>
      </c>
      <c r="H139" s="333"/>
      <c r="J139" s="483">
        <f>B130+B132+B134</f>
        <v>60376000</v>
      </c>
      <c r="K139" s="483">
        <f>C130+C132+C134</f>
        <v>20025047.850000001</v>
      </c>
      <c r="L139" s="483">
        <f>D130+D132+D134</f>
        <v>20025047.850000001</v>
      </c>
    </row>
    <row r="140" spans="1:13" s="330" customFormat="1" ht="13.5" thickBot="1" x14ac:dyDescent="0.25">
      <c r="A140" s="655"/>
      <c r="B140" s="523">
        <v>0</v>
      </c>
      <c r="C140" s="524">
        <v>348169266.88</v>
      </c>
      <c r="D140" s="524">
        <v>348169266.88</v>
      </c>
      <c r="E140" s="525">
        <f t="shared" si="16"/>
        <v>100</v>
      </c>
      <c r="F140" s="318">
        <v>1600</v>
      </c>
      <c r="G140" s="344" t="s">
        <v>199</v>
      </c>
      <c r="H140" s="333"/>
      <c r="I140" s="281" t="s">
        <v>33</v>
      </c>
      <c r="J140" s="315">
        <f t="shared" ref="J140:L142" si="17">B138</f>
        <v>26517000</v>
      </c>
      <c r="K140" s="315">
        <f t="shared" si="17"/>
        <v>348169266.88</v>
      </c>
      <c r="L140" s="315">
        <f t="shared" si="17"/>
        <v>348169266.88</v>
      </c>
    </row>
    <row r="141" spans="1:13" s="330" customFormat="1" ht="13.5" thickTop="1" x14ac:dyDescent="0.2">
      <c r="A141" s="345"/>
      <c r="B141" s="447"/>
      <c r="E141" s="331"/>
      <c r="F141" s="346"/>
      <c r="G141" s="344"/>
      <c r="H141" s="333"/>
      <c r="I141" s="236"/>
      <c r="J141" s="482">
        <f t="shared" si="17"/>
        <v>26517000</v>
      </c>
      <c r="K141" s="482">
        <f t="shared" si="17"/>
        <v>0</v>
      </c>
      <c r="L141" s="482">
        <f t="shared" si="17"/>
        <v>0</v>
      </c>
    </row>
    <row r="142" spans="1:13" s="316" customFormat="1" x14ac:dyDescent="0.2">
      <c r="B142" s="447"/>
      <c r="E142" s="275"/>
      <c r="F142" s="317"/>
      <c r="G142" s="258"/>
      <c r="I142" s="330"/>
      <c r="J142" s="482">
        <f t="shared" si="17"/>
        <v>0</v>
      </c>
      <c r="K142" s="482">
        <f t="shared" si="17"/>
        <v>348169266.88</v>
      </c>
      <c r="L142" s="482">
        <f t="shared" si="17"/>
        <v>348169266.88</v>
      </c>
      <c r="M142" s="316" t="s">
        <v>207</v>
      </c>
    </row>
    <row r="143" spans="1:13" s="296" customFormat="1" ht="18.75" thickBot="1" x14ac:dyDescent="0.3">
      <c r="A143" s="291" t="s">
        <v>24</v>
      </c>
      <c r="B143" s="446">
        <f>SUM(,B127,B138)</f>
        <v>121093000</v>
      </c>
      <c r="C143" s="292">
        <f>SUM(,C127,C138)</f>
        <v>391720434.78999996</v>
      </c>
      <c r="D143" s="292">
        <f>SUM(,D127,D138)</f>
        <v>383008468.67000002</v>
      </c>
      <c r="E143" s="293">
        <f>D143/C143*100</f>
        <v>97.775973539733656</v>
      </c>
      <c r="F143" s="348"/>
      <c r="G143" s="295"/>
      <c r="I143" s="316"/>
      <c r="J143" s="347">
        <f>SUM(J138:J140)</f>
        <v>121093000</v>
      </c>
      <c r="K143" s="347">
        <f>SUM(K138:K140)</f>
        <v>391720434.79000002</v>
      </c>
      <c r="L143" s="347">
        <f>SUM(L138:L140)</f>
        <v>383008468.67000002</v>
      </c>
      <c r="M143" s="316"/>
    </row>
    <row r="144" spans="1:13" s="316" customFormat="1" ht="13.5" thickTop="1" x14ac:dyDescent="0.2">
      <c r="B144" s="447"/>
      <c r="E144" s="275"/>
      <c r="F144" s="317"/>
      <c r="G144" s="258"/>
      <c r="H144" s="258"/>
    </row>
    <row r="145" spans="1:8" s="316" customFormat="1" x14ac:dyDescent="0.2">
      <c r="B145" s="447"/>
      <c r="E145" s="275"/>
      <c r="F145" s="317"/>
      <c r="G145" s="258"/>
    </row>
    <row r="146" spans="1:8" s="316" customFormat="1" x14ac:dyDescent="0.2">
      <c r="B146" s="447"/>
      <c r="E146" s="275"/>
      <c r="F146" s="317"/>
      <c r="G146" s="258"/>
    </row>
    <row r="147" spans="1:8" ht="15" customHeight="1" x14ac:dyDescent="0.25">
      <c r="A147" s="246" t="s">
        <v>30</v>
      </c>
      <c r="B147" s="238"/>
    </row>
    <row r="148" spans="1:8" ht="15" customHeight="1" thickBot="1" x14ac:dyDescent="0.3">
      <c r="A148" s="247" t="s">
        <v>115</v>
      </c>
      <c r="B148" s="238"/>
      <c r="E148" s="249" t="s">
        <v>18</v>
      </c>
    </row>
    <row r="149" spans="1:8" ht="14.25" thickTop="1" thickBot="1" x14ac:dyDescent="0.25">
      <c r="A149" s="250" t="s">
        <v>5</v>
      </c>
      <c r="B149" s="251" t="s">
        <v>0</v>
      </c>
      <c r="C149" s="567" t="s">
        <v>1</v>
      </c>
      <c r="D149" s="253" t="s">
        <v>4</v>
      </c>
      <c r="E149" s="568" t="s">
        <v>6</v>
      </c>
    </row>
    <row r="150" spans="1:8" ht="15.75" thickTop="1" x14ac:dyDescent="0.2">
      <c r="A150" s="550" t="s">
        <v>10</v>
      </c>
      <c r="B150" s="569">
        <f>SUM(B151:B173)</f>
        <v>62770000</v>
      </c>
      <c r="C150" s="569">
        <f>SUM(C151:C173)</f>
        <v>76887815.610000014</v>
      </c>
      <c r="D150" s="569">
        <f>SUM(D151:D173)</f>
        <v>71694763.030000016</v>
      </c>
      <c r="E150" s="551">
        <f t="shared" ref="E150" si="18">D150/C150*100</f>
        <v>93.245935602669675</v>
      </c>
      <c r="F150" s="243"/>
    </row>
    <row r="151" spans="1:8" s="5" customFormat="1" x14ac:dyDescent="0.2">
      <c r="A151" s="571" t="s">
        <v>297</v>
      </c>
      <c r="B151" s="405">
        <v>61000</v>
      </c>
      <c r="C151" s="233">
        <f>253181+53168.01</f>
        <v>306349.01</v>
      </c>
      <c r="D151" s="233">
        <f>211381+44390.01</f>
        <v>255771.01</v>
      </c>
      <c r="E151" s="216">
        <f t="shared" ref="E151:E173" si="19">D151/C151*100</f>
        <v>83.490072319802834</v>
      </c>
      <c r="F151" s="83">
        <v>101093</v>
      </c>
      <c r="G151" s="265" t="s">
        <v>203</v>
      </c>
      <c r="H151" s="38"/>
    </row>
    <row r="152" spans="1:8" s="5" customFormat="1" x14ac:dyDescent="0.2">
      <c r="A152" s="662" t="s">
        <v>298</v>
      </c>
      <c r="B152" s="543">
        <v>18605000</v>
      </c>
      <c r="C152" s="543">
        <v>24653747.440000001</v>
      </c>
      <c r="D152" s="543">
        <v>24653747.440000001</v>
      </c>
      <c r="E152" s="216">
        <f t="shared" si="19"/>
        <v>100</v>
      </c>
      <c r="F152" s="83">
        <v>101185</v>
      </c>
      <c r="G152" s="397" t="s">
        <v>167</v>
      </c>
      <c r="H152" s="38"/>
    </row>
    <row r="153" spans="1:8" s="5" customFormat="1" x14ac:dyDescent="0.2">
      <c r="A153" s="662"/>
      <c r="B153" s="405">
        <v>9939000</v>
      </c>
      <c r="C153" s="233">
        <v>15413414.34</v>
      </c>
      <c r="D153" s="233">
        <v>14545317.369999999</v>
      </c>
      <c r="E153" s="216">
        <f t="shared" si="19"/>
        <v>94.367912580231078</v>
      </c>
      <c r="F153" s="83">
        <v>101185</v>
      </c>
      <c r="G153" s="265" t="s">
        <v>202</v>
      </c>
      <c r="H153" s="38"/>
    </row>
    <row r="154" spans="1:8" s="5" customFormat="1" ht="25.5" x14ac:dyDescent="0.2">
      <c r="A154" s="218" t="s">
        <v>527</v>
      </c>
      <c r="B154" s="405">
        <v>100000</v>
      </c>
      <c r="C154" s="233">
        <v>0</v>
      </c>
      <c r="D154" s="233">
        <v>0</v>
      </c>
      <c r="E154" s="216">
        <v>0</v>
      </c>
      <c r="F154" s="83">
        <v>101189</v>
      </c>
      <c r="G154" s="265" t="s">
        <v>361</v>
      </c>
      <c r="H154" s="38"/>
    </row>
    <row r="155" spans="1:8" s="316" customFormat="1" x14ac:dyDescent="0.2">
      <c r="A155" s="570" t="s">
        <v>171</v>
      </c>
      <c r="B155" s="441">
        <v>200000</v>
      </c>
      <c r="C155" s="441">
        <v>1213503.95</v>
      </c>
      <c r="D155" s="441">
        <v>125114</v>
      </c>
      <c r="E155" s="407">
        <f t="shared" si="19"/>
        <v>10.310143613459189</v>
      </c>
      <c r="F155" s="266">
        <v>101324</v>
      </c>
      <c r="G155" s="265" t="s">
        <v>373</v>
      </c>
      <c r="H155" s="258"/>
    </row>
    <row r="156" spans="1:8" s="316" customFormat="1" x14ac:dyDescent="0.2">
      <c r="A156" s="662" t="s">
        <v>158</v>
      </c>
      <c r="B156" s="441">
        <v>39000</v>
      </c>
      <c r="C156" s="441">
        <v>21933.85</v>
      </c>
      <c r="D156" s="441">
        <v>21933.85</v>
      </c>
      <c r="E156" s="407">
        <f t="shared" si="19"/>
        <v>100</v>
      </c>
      <c r="F156" s="266">
        <v>101486</v>
      </c>
      <c r="G156" s="397" t="s">
        <v>167</v>
      </c>
      <c r="H156" s="258"/>
    </row>
    <row r="157" spans="1:8" s="5" customFormat="1" x14ac:dyDescent="0.2">
      <c r="A157" s="662"/>
      <c r="B157" s="405">
        <f>5406000+14000</f>
        <v>5420000</v>
      </c>
      <c r="C157" s="233">
        <f>5660200.55+231423.51</f>
        <v>5891624.0599999996</v>
      </c>
      <c r="D157" s="233">
        <f>5660200.55+231423.51</f>
        <v>5891624.0599999996</v>
      </c>
      <c r="E157" s="216">
        <f t="shared" si="19"/>
        <v>100</v>
      </c>
      <c r="F157" s="83">
        <v>101486</v>
      </c>
      <c r="G157" s="140" t="s">
        <v>364</v>
      </c>
      <c r="H157" s="38"/>
    </row>
    <row r="158" spans="1:8" s="5" customFormat="1" x14ac:dyDescent="0.2">
      <c r="A158" s="638" t="s">
        <v>529</v>
      </c>
      <c r="B158" s="405">
        <v>32000</v>
      </c>
      <c r="C158" s="233">
        <v>172651.44</v>
      </c>
      <c r="D158" s="233">
        <v>118556.59</v>
      </c>
      <c r="E158" s="216">
        <f t="shared" si="19"/>
        <v>68.668173286014863</v>
      </c>
      <c r="F158" s="83">
        <v>101487</v>
      </c>
      <c r="G158" s="140" t="s">
        <v>364</v>
      </c>
      <c r="H158" s="38"/>
    </row>
    <row r="159" spans="1:8" s="5" customFormat="1" x14ac:dyDescent="0.2">
      <c r="A159" s="639"/>
      <c r="B159" s="405">
        <v>2076000</v>
      </c>
      <c r="C159" s="233">
        <v>2086087.67</v>
      </c>
      <c r="D159" s="233">
        <v>2086087.67</v>
      </c>
      <c r="E159" s="216">
        <f t="shared" si="19"/>
        <v>100</v>
      </c>
      <c r="F159" s="83">
        <v>101487</v>
      </c>
      <c r="G159" s="397" t="s">
        <v>167</v>
      </c>
      <c r="H159" s="38"/>
    </row>
    <row r="160" spans="1:8" s="5" customFormat="1" x14ac:dyDescent="0.2">
      <c r="A160" s="602" t="s">
        <v>530</v>
      </c>
      <c r="B160" s="405">
        <v>0</v>
      </c>
      <c r="C160" s="233">
        <f>649726.53+158522</f>
        <v>808248.53</v>
      </c>
      <c r="D160" s="233">
        <f>248240+52130.4</f>
        <v>300370.40000000002</v>
      </c>
      <c r="E160" s="216">
        <f t="shared" si="19"/>
        <v>37.163123575368587</v>
      </c>
      <c r="F160" s="83">
        <v>101488</v>
      </c>
      <c r="G160" s="140" t="s">
        <v>364</v>
      </c>
      <c r="H160" s="38"/>
    </row>
    <row r="161" spans="1:12" s="5" customFormat="1" x14ac:dyDescent="0.2">
      <c r="A161" s="638" t="s">
        <v>531</v>
      </c>
      <c r="B161" s="405">
        <v>45000</v>
      </c>
      <c r="C161" s="233">
        <v>15000</v>
      </c>
      <c r="D161" s="233">
        <v>14269.8</v>
      </c>
      <c r="E161" s="216">
        <f t="shared" si="19"/>
        <v>95.131999999999991</v>
      </c>
      <c r="F161" s="83">
        <v>101490</v>
      </c>
      <c r="G161" s="140" t="s">
        <v>364</v>
      </c>
      <c r="H161" s="38"/>
    </row>
    <row r="162" spans="1:12" s="5" customFormat="1" x14ac:dyDescent="0.2">
      <c r="A162" s="639"/>
      <c r="B162" s="405">
        <v>982000</v>
      </c>
      <c r="C162" s="233">
        <v>907878.24</v>
      </c>
      <c r="D162" s="233">
        <v>907878.24</v>
      </c>
      <c r="E162" s="216">
        <f t="shared" si="19"/>
        <v>100</v>
      </c>
      <c r="F162" s="83">
        <v>101490</v>
      </c>
      <c r="G162" s="397" t="s">
        <v>167</v>
      </c>
      <c r="H162" s="38"/>
    </row>
    <row r="163" spans="1:12" s="5" customFormat="1" x14ac:dyDescent="0.2">
      <c r="A163" s="602" t="s">
        <v>532</v>
      </c>
      <c r="B163" s="405">
        <f>1078000+172000</f>
        <v>1250000</v>
      </c>
      <c r="C163" s="233">
        <f>1606000+172000</f>
        <v>1778000</v>
      </c>
      <c r="D163" s="233">
        <f>688000+142380</f>
        <v>830380</v>
      </c>
      <c r="E163" s="216">
        <f t="shared" si="19"/>
        <v>46.703037120359951</v>
      </c>
      <c r="F163" s="83">
        <v>101491</v>
      </c>
      <c r="G163" s="140" t="s">
        <v>364</v>
      </c>
      <c r="H163" s="38"/>
    </row>
    <row r="164" spans="1:12" s="5" customFormat="1" x14ac:dyDescent="0.2">
      <c r="A164" s="602" t="s">
        <v>533</v>
      </c>
      <c r="B164" s="405">
        <f>794000+167000</f>
        <v>961000</v>
      </c>
      <c r="C164" s="233">
        <f>896000+167000</f>
        <v>1063000</v>
      </c>
      <c r="D164" s="233">
        <f>788400+163464</f>
        <v>951864</v>
      </c>
      <c r="E164" s="216">
        <f t="shared" si="19"/>
        <v>89.545061147695208</v>
      </c>
      <c r="F164" s="83">
        <v>101492</v>
      </c>
      <c r="G164" s="140" t="s">
        <v>364</v>
      </c>
      <c r="H164" s="38"/>
    </row>
    <row r="165" spans="1:12" s="5" customFormat="1" x14ac:dyDescent="0.2">
      <c r="A165" s="232" t="s">
        <v>534</v>
      </c>
      <c r="B165" s="405">
        <f>513000+107000</f>
        <v>620000</v>
      </c>
      <c r="C165" s="233">
        <f>491500+130215</f>
        <v>621715</v>
      </c>
      <c r="D165" s="233">
        <f>491500+103215</f>
        <v>594715</v>
      </c>
      <c r="E165" s="216">
        <f t="shared" si="19"/>
        <v>95.657174107106954</v>
      </c>
      <c r="F165" s="83">
        <v>101493</v>
      </c>
      <c r="G165" s="140" t="s">
        <v>157</v>
      </c>
      <c r="H165" s="38"/>
    </row>
    <row r="166" spans="1:12" s="5" customFormat="1" x14ac:dyDescent="0.2">
      <c r="A166" s="662" t="s">
        <v>535</v>
      </c>
      <c r="B166" s="405">
        <v>0</v>
      </c>
      <c r="C166" s="233">
        <v>1928.34</v>
      </c>
      <c r="D166" s="233">
        <v>1928.34</v>
      </c>
      <c r="E166" s="216">
        <f t="shared" si="19"/>
        <v>100</v>
      </c>
      <c r="F166" s="83">
        <v>101494</v>
      </c>
      <c r="G166" s="397" t="s">
        <v>167</v>
      </c>
      <c r="H166" s="38"/>
    </row>
    <row r="167" spans="1:12" s="5" customFormat="1" x14ac:dyDescent="0.2">
      <c r="A167" s="662"/>
      <c r="B167" s="405">
        <v>790000</v>
      </c>
      <c r="C167" s="233">
        <f>40138.83+1769.63</f>
        <v>41908.46</v>
      </c>
      <c r="D167" s="233">
        <f>40138.83+1769.63</f>
        <v>41908.46</v>
      </c>
      <c r="E167" s="216">
        <f t="shared" si="19"/>
        <v>100</v>
      </c>
      <c r="F167" s="83">
        <v>101494</v>
      </c>
      <c r="G167" s="140" t="s">
        <v>157</v>
      </c>
      <c r="H167" s="38"/>
    </row>
    <row r="168" spans="1:12" s="5" customFormat="1" x14ac:dyDescent="0.2">
      <c r="A168" s="232" t="s">
        <v>536</v>
      </c>
      <c r="B168" s="405">
        <v>0</v>
      </c>
      <c r="C168" s="233">
        <f>640165+134224.65</f>
        <v>774389.65</v>
      </c>
      <c r="D168" s="233">
        <f>284500+59535</f>
        <v>344035</v>
      </c>
      <c r="E168" s="216">
        <f t="shared" si="19"/>
        <v>44.42660100118848</v>
      </c>
      <c r="F168" s="83">
        <v>101611</v>
      </c>
      <c r="G168" s="140" t="s">
        <v>157</v>
      </c>
      <c r="H168" s="38"/>
    </row>
    <row r="169" spans="1:12" s="5" customFormat="1" x14ac:dyDescent="0.2">
      <c r="A169" s="476" t="s">
        <v>537</v>
      </c>
      <c r="B169" s="405">
        <v>200000</v>
      </c>
      <c r="C169" s="233">
        <v>0</v>
      </c>
      <c r="D169" s="233">
        <v>0</v>
      </c>
      <c r="E169" s="216">
        <v>0</v>
      </c>
      <c r="F169" s="83">
        <v>101519</v>
      </c>
      <c r="G169" s="140" t="s">
        <v>373</v>
      </c>
      <c r="H169" s="38"/>
    </row>
    <row r="170" spans="1:12" s="5" customFormat="1" x14ac:dyDescent="0.2">
      <c r="A170" s="638" t="s">
        <v>538</v>
      </c>
      <c r="B170" s="534">
        <v>18233000</v>
      </c>
      <c r="C170" s="534">
        <v>0</v>
      </c>
      <c r="D170" s="534">
        <v>0</v>
      </c>
      <c r="E170" s="263">
        <v>0</v>
      </c>
      <c r="F170" s="301" t="s">
        <v>172</v>
      </c>
      <c r="G170" s="397" t="s">
        <v>159</v>
      </c>
      <c r="H170" s="38"/>
    </row>
    <row r="171" spans="1:12" s="5" customFormat="1" x14ac:dyDescent="0.2">
      <c r="A171" s="639"/>
      <c r="B171" s="405">
        <v>3217000</v>
      </c>
      <c r="C171" s="233">
        <v>0</v>
      </c>
      <c r="D171" s="233">
        <v>0</v>
      </c>
      <c r="E171" s="216">
        <v>0</v>
      </c>
      <c r="F171" s="83">
        <v>101503</v>
      </c>
      <c r="G171" s="508" t="s">
        <v>128</v>
      </c>
      <c r="H171" s="38"/>
    </row>
    <row r="172" spans="1:12" s="5" customFormat="1" x14ac:dyDescent="0.2">
      <c r="A172" s="652" t="s">
        <v>539</v>
      </c>
      <c r="B172" s="534">
        <v>0</v>
      </c>
      <c r="C172" s="534">
        <v>18008335.629999999</v>
      </c>
      <c r="D172" s="534">
        <v>18008335.629999999</v>
      </c>
      <c r="E172" s="263">
        <f>D172/C172*100</f>
        <v>100</v>
      </c>
      <c r="F172" s="301" t="s">
        <v>376</v>
      </c>
      <c r="G172" s="397" t="s">
        <v>159</v>
      </c>
      <c r="H172" s="38"/>
      <c r="I172" s="312" t="s">
        <v>38</v>
      </c>
      <c r="J172" s="288">
        <f>B151+B153+B154+B155+B157+B158+B160+B161+B163+B164+B165+B167+B168+B169</f>
        <v>19618000</v>
      </c>
      <c r="K172" s="288">
        <f>C151+C153+C154+C155+C157+C158+C160+C161+C163+C164+C165+C167+C168+C169</f>
        <v>28099804.440000001</v>
      </c>
      <c r="L172" s="288">
        <f>D151+D153+D154+D155+D157+D158+D160+D161+D163+D164+D165+D167+D168+D169</f>
        <v>24013925.689999998</v>
      </c>
    </row>
    <row r="173" spans="1:12" s="5" customFormat="1" ht="13.5" thickBot="1" x14ac:dyDescent="0.25">
      <c r="A173" s="664"/>
      <c r="B173" s="406">
        <v>0</v>
      </c>
      <c r="C173" s="404">
        <v>3108100</v>
      </c>
      <c r="D173" s="404">
        <v>2000926.17</v>
      </c>
      <c r="E173" s="221">
        <f t="shared" si="19"/>
        <v>64.377792542067496</v>
      </c>
      <c r="F173" s="83">
        <v>101627</v>
      </c>
      <c r="G173" s="508" t="s">
        <v>128</v>
      </c>
      <c r="H173" s="38"/>
      <c r="I173" s="316"/>
      <c r="J173" s="483">
        <f>B152+B156+B159+B162+B166</f>
        <v>21702000</v>
      </c>
      <c r="K173" s="483">
        <f t="shared" ref="K173:L173" si="20">C152+C156+C159+C162+C166</f>
        <v>27671575.539999999</v>
      </c>
      <c r="L173" s="483">
        <f t="shared" si="20"/>
        <v>27671575.539999999</v>
      </c>
    </row>
    <row r="174" spans="1:12" s="316" customFormat="1" ht="13.5" thickTop="1" x14ac:dyDescent="0.2">
      <c r="B174" s="447"/>
      <c r="E174" s="275"/>
      <c r="F174" s="317"/>
      <c r="G174" s="258"/>
      <c r="H174" s="258"/>
      <c r="I174" s="396" t="s">
        <v>35</v>
      </c>
      <c r="J174" s="394">
        <f>B171+B173</f>
        <v>3217000</v>
      </c>
      <c r="K174" s="394">
        <f>C171+C173</f>
        <v>3108100</v>
      </c>
      <c r="L174" s="394">
        <f>D171+D173</f>
        <v>2000926.17</v>
      </c>
    </row>
    <row r="175" spans="1:12" s="316" customFormat="1" x14ac:dyDescent="0.2">
      <c r="B175" s="448"/>
      <c r="C175" s="321"/>
      <c r="D175" s="321"/>
      <c r="E175" s="275"/>
      <c r="F175" s="317"/>
      <c r="G175" s="258"/>
      <c r="H175" s="258"/>
      <c r="J175" s="483">
        <f>B170+B172</f>
        <v>18233000</v>
      </c>
      <c r="K175" s="483">
        <f t="shared" ref="K175:L175" si="21">C170+C172</f>
        <v>18008335.629999999</v>
      </c>
      <c r="L175" s="483">
        <f t="shared" si="21"/>
        <v>18008335.629999999</v>
      </c>
    </row>
    <row r="176" spans="1:12" s="316" customFormat="1" ht="18.75" thickBot="1" x14ac:dyDescent="0.3">
      <c r="A176" s="291" t="s">
        <v>23</v>
      </c>
      <c r="B176" s="446">
        <f>SUM(B150)</f>
        <v>62770000</v>
      </c>
      <c r="C176" s="446">
        <f>SUM(C150)</f>
        <v>76887815.610000014</v>
      </c>
      <c r="D176" s="446">
        <f>SUM(D150)</f>
        <v>71694763.030000016</v>
      </c>
      <c r="E176" s="293">
        <f>D176/C176*100</f>
        <v>93.245935602669675</v>
      </c>
      <c r="F176" s="317"/>
      <c r="G176" s="258"/>
      <c r="H176" s="258"/>
      <c r="J176" s="267">
        <f>J172+J173+J174+J175</f>
        <v>62770000</v>
      </c>
      <c r="K176" s="267">
        <f t="shared" ref="K176:L176" si="22">K172+K173+K174+K175</f>
        <v>76887815.609999999</v>
      </c>
      <c r="L176" s="267">
        <f t="shared" si="22"/>
        <v>71694763.030000001</v>
      </c>
    </row>
    <row r="177" spans="1:12" s="316" customFormat="1" ht="18.75" thickTop="1" x14ac:dyDescent="0.25">
      <c r="A177" s="323"/>
      <c r="B177" s="449"/>
      <c r="C177" s="449"/>
      <c r="D177" s="449"/>
      <c r="E177" s="325"/>
      <c r="F177" s="317"/>
      <c r="G177" s="258"/>
      <c r="H177" s="258"/>
      <c r="I177" s="281"/>
      <c r="J177" s="267"/>
      <c r="K177" s="267"/>
      <c r="L177" s="267"/>
    </row>
    <row r="178" spans="1:12" s="316" customFormat="1" x14ac:dyDescent="0.2">
      <c r="B178" s="447"/>
      <c r="E178" s="275"/>
      <c r="F178" s="317"/>
      <c r="G178" s="258"/>
      <c r="H178" s="258"/>
    </row>
    <row r="179" spans="1:12" s="316" customFormat="1" ht="18" x14ac:dyDescent="0.25">
      <c r="A179" s="234" t="s">
        <v>211</v>
      </c>
      <c r="B179" s="451"/>
      <c r="C179" s="352"/>
      <c r="D179" s="353"/>
      <c r="E179" s="352"/>
      <c r="F179" s="317"/>
      <c r="G179" s="258"/>
      <c r="H179" s="258"/>
    </row>
    <row r="180" spans="1:12" s="316" customFormat="1" ht="15.75" thickBot="1" x14ac:dyDescent="0.3">
      <c r="A180" s="247" t="s">
        <v>111</v>
      </c>
      <c r="B180" s="451"/>
      <c r="C180" s="352"/>
      <c r="D180" s="353"/>
      <c r="E180" s="352" t="s">
        <v>18</v>
      </c>
      <c r="F180" s="317"/>
      <c r="G180" s="258"/>
      <c r="H180" s="258"/>
    </row>
    <row r="181" spans="1:12" s="316" customFormat="1" ht="14.25" thickTop="1" thickBot="1" x14ac:dyDescent="0.25">
      <c r="A181" s="354" t="s">
        <v>5</v>
      </c>
      <c r="B181" s="251" t="s">
        <v>0</v>
      </c>
      <c r="C181" s="252" t="s">
        <v>1</v>
      </c>
      <c r="D181" s="253" t="s">
        <v>4</v>
      </c>
      <c r="E181" s="254" t="s">
        <v>6</v>
      </c>
      <c r="F181" s="317"/>
      <c r="G181" s="258"/>
      <c r="H181" s="258"/>
    </row>
    <row r="182" spans="1:12" s="316" customFormat="1" ht="15.75" thickTop="1" x14ac:dyDescent="0.25">
      <c r="A182" s="309" t="s">
        <v>216</v>
      </c>
      <c r="B182" s="355">
        <f>SUM(B183:B191)</f>
        <v>2979000</v>
      </c>
      <c r="C182" s="355">
        <f>SUM(C183:C191)</f>
        <v>23896886.859999999</v>
      </c>
      <c r="D182" s="355">
        <f>SUM(D183:D191)</f>
        <v>18860501.489999998</v>
      </c>
      <c r="E182" s="551">
        <f t="shared" ref="E182" si="23">D182/C182*100</f>
        <v>78.92451263837971</v>
      </c>
      <c r="F182" s="317"/>
      <c r="G182" s="258"/>
      <c r="H182" s="258"/>
      <c r="I182" s="281"/>
    </row>
    <row r="183" spans="1:12" s="316" customFormat="1" x14ac:dyDescent="0.2">
      <c r="A183" s="638" t="s">
        <v>299</v>
      </c>
      <c r="B183" s="405">
        <v>350000</v>
      </c>
      <c r="C183" s="233">
        <v>350000</v>
      </c>
      <c r="D183" s="233">
        <v>282124.78999999998</v>
      </c>
      <c r="E183" s="407">
        <f t="shared" ref="E183:E191" si="24">D183/C183*100</f>
        <v>80.607082857142856</v>
      </c>
      <c r="F183" s="83">
        <v>101476</v>
      </c>
      <c r="G183" s="578" t="s">
        <v>213</v>
      </c>
      <c r="H183" s="258"/>
    </row>
    <row r="184" spans="1:12" s="316" customFormat="1" x14ac:dyDescent="0.2">
      <c r="A184" s="639"/>
      <c r="B184" s="405">
        <v>0</v>
      </c>
      <c r="C184" s="233">
        <v>6055961.54</v>
      </c>
      <c r="D184" s="233">
        <v>5360561.0599999996</v>
      </c>
      <c r="E184" s="407">
        <f t="shared" si="24"/>
        <v>88.517092200687912</v>
      </c>
      <c r="F184" s="83">
        <v>101476</v>
      </c>
      <c r="G184" s="578" t="s">
        <v>214</v>
      </c>
      <c r="H184" s="258"/>
    </row>
    <row r="185" spans="1:12" s="316" customFormat="1" x14ac:dyDescent="0.2">
      <c r="A185" s="638" t="s">
        <v>300</v>
      </c>
      <c r="B185" s="405">
        <v>2348000</v>
      </c>
      <c r="C185" s="233">
        <v>2348000</v>
      </c>
      <c r="D185" s="233">
        <v>422494.25</v>
      </c>
      <c r="E185" s="407">
        <f t="shared" si="24"/>
        <v>17.993792589437817</v>
      </c>
      <c r="F185" s="83">
        <v>101489</v>
      </c>
      <c r="G185" s="578" t="s">
        <v>213</v>
      </c>
      <c r="H185" s="258"/>
    </row>
    <row r="186" spans="1:12" s="316" customFormat="1" x14ac:dyDescent="0.2">
      <c r="A186" s="639"/>
      <c r="B186" s="480">
        <v>0</v>
      </c>
      <c r="C186" s="480">
        <v>8594617.2899999991</v>
      </c>
      <c r="D186" s="480">
        <v>8027390.71</v>
      </c>
      <c r="E186" s="407">
        <f t="shared" si="24"/>
        <v>93.400211308303653</v>
      </c>
      <c r="F186" s="83">
        <v>101489</v>
      </c>
      <c r="G186" s="578" t="s">
        <v>214</v>
      </c>
    </row>
    <row r="187" spans="1:12" s="316" customFormat="1" x14ac:dyDescent="0.2">
      <c r="A187" s="625"/>
      <c r="B187" s="480">
        <v>0</v>
      </c>
      <c r="C187" s="480">
        <v>847303.6</v>
      </c>
      <c r="D187" s="480">
        <v>847303.6</v>
      </c>
      <c r="E187" s="407">
        <f t="shared" si="24"/>
        <v>100</v>
      </c>
      <c r="F187" s="83">
        <v>101638</v>
      </c>
      <c r="G187" s="578" t="s">
        <v>213</v>
      </c>
    </row>
    <row r="188" spans="1:12" s="316" customFormat="1" x14ac:dyDescent="0.2">
      <c r="A188" s="642" t="s">
        <v>301</v>
      </c>
      <c r="B188" s="480">
        <v>186000</v>
      </c>
      <c r="C188" s="480">
        <v>186000</v>
      </c>
      <c r="D188" s="480">
        <v>164504.57</v>
      </c>
      <c r="E188" s="407">
        <f t="shared" si="24"/>
        <v>88.443317204301081</v>
      </c>
      <c r="F188" s="83">
        <v>101507</v>
      </c>
      <c r="G188" s="578" t="s">
        <v>236</v>
      </c>
    </row>
    <row r="189" spans="1:12" s="316" customFormat="1" x14ac:dyDescent="0.2">
      <c r="A189" s="643"/>
      <c r="B189" s="480">
        <v>0</v>
      </c>
      <c r="C189" s="480">
        <v>3548298.64</v>
      </c>
      <c r="D189" s="480">
        <v>3125586.33</v>
      </c>
      <c r="E189" s="407">
        <f t="shared" si="24"/>
        <v>88.086901557981605</v>
      </c>
      <c r="F189" s="83">
        <v>101507</v>
      </c>
      <c r="G189" s="578" t="s">
        <v>237</v>
      </c>
    </row>
    <row r="190" spans="1:12" s="316" customFormat="1" x14ac:dyDescent="0.2">
      <c r="A190" s="642" t="s">
        <v>302</v>
      </c>
      <c r="B190" s="480">
        <v>95000</v>
      </c>
      <c r="C190" s="480">
        <v>95000</v>
      </c>
      <c r="D190" s="480">
        <v>31550.35</v>
      </c>
      <c r="E190" s="407">
        <f t="shared" si="24"/>
        <v>33.210894736842107</v>
      </c>
      <c r="F190" s="83">
        <v>101508</v>
      </c>
      <c r="G190" s="578" t="s">
        <v>236</v>
      </c>
      <c r="I190" s="313" t="s">
        <v>215</v>
      </c>
      <c r="J190" s="314">
        <f>B183+B185+B187</f>
        <v>2698000</v>
      </c>
      <c r="K190" s="314">
        <f>C183+C185+C187</f>
        <v>3545303.6</v>
      </c>
      <c r="L190" s="314">
        <f>D183+D185+D187</f>
        <v>1551922.6400000001</v>
      </c>
    </row>
    <row r="191" spans="1:12" s="316" customFormat="1" ht="13.5" thickBot="1" x14ac:dyDescent="0.25">
      <c r="A191" s="644"/>
      <c r="B191" s="414">
        <v>0</v>
      </c>
      <c r="C191" s="414">
        <v>1871705.79</v>
      </c>
      <c r="D191" s="414">
        <v>598985.82999999996</v>
      </c>
      <c r="E191" s="391">
        <f t="shared" si="24"/>
        <v>32.002135869868731</v>
      </c>
      <c r="F191" s="83">
        <v>101508</v>
      </c>
      <c r="G191" s="578" t="s">
        <v>237</v>
      </c>
      <c r="J191" s="579">
        <f>B184+B186</f>
        <v>0</v>
      </c>
      <c r="K191" s="579">
        <f>C184+C186</f>
        <v>14650578.829999998</v>
      </c>
      <c r="L191" s="579">
        <f>D184+D186</f>
        <v>13387951.77</v>
      </c>
    </row>
    <row r="192" spans="1:12" s="316" customFormat="1" ht="15" customHeight="1" thickTop="1" x14ac:dyDescent="0.2">
      <c r="A192" s="413"/>
      <c r="B192" s="320"/>
      <c r="C192" s="320"/>
      <c r="D192" s="320"/>
      <c r="E192" s="356"/>
      <c r="F192" s="357"/>
      <c r="G192" s="349"/>
      <c r="I192" s="313" t="s">
        <v>243</v>
      </c>
      <c r="J192" s="314">
        <f>B188+B190</f>
        <v>281000</v>
      </c>
      <c r="K192" s="314">
        <f t="shared" ref="K192:L192" si="25">C188+C190</f>
        <v>281000</v>
      </c>
      <c r="L192" s="314">
        <f t="shared" si="25"/>
        <v>196054.92</v>
      </c>
    </row>
    <row r="193" spans="1:12" s="316" customFormat="1" ht="15" customHeight="1" x14ac:dyDescent="0.2">
      <c r="A193" s="413"/>
      <c r="B193" s="320"/>
      <c r="C193" s="320"/>
      <c r="D193" s="320"/>
      <c r="E193" s="356"/>
      <c r="F193" s="357"/>
      <c r="G193" s="349"/>
      <c r="J193" s="579">
        <f>B189+B191</f>
        <v>0</v>
      </c>
      <c r="K193" s="579">
        <f t="shared" ref="K193:L193" si="26">C189+C191</f>
        <v>5420004.4299999997</v>
      </c>
      <c r="L193" s="579">
        <f t="shared" si="26"/>
        <v>3724572.16</v>
      </c>
    </row>
    <row r="194" spans="1:12" s="316" customFormat="1" ht="18.75" thickBot="1" x14ac:dyDescent="0.25">
      <c r="A194" s="411" t="s">
        <v>212</v>
      </c>
      <c r="B194" s="452">
        <f>B182</f>
        <v>2979000</v>
      </c>
      <c r="C194" s="360">
        <f>C182</f>
        <v>23896886.859999999</v>
      </c>
      <c r="D194" s="360">
        <f>D182</f>
        <v>18860501.489999998</v>
      </c>
      <c r="E194" s="412">
        <f>D194/C194*100</f>
        <v>78.92451263837971</v>
      </c>
      <c r="F194" s="317"/>
      <c r="G194" s="258"/>
      <c r="J194" s="351">
        <f>J190+J191+J192+J193</f>
        <v>2979000</v>
      </c>
      <c r="K194" s="351">
        <f t="shared" ref="K194:L194" si="27">K190+K191+K192+K193</f>
        <v>23896886.859999999</v>
      </c>
      <c r="L194" s="351">
        <f t="shared" si="27"/>
        <v>18860501.490000002</v>
      </c>
    </row>
    <row r="195" spans="1:12" s="316" customFormat="1" ht="18.75" thickTop="1" x14ac:dyDescent="0.2">
      <c r="A195" s="366"/>
      <c r="B195" s="577"/>
      <c r="C195" s="367"/>
      <c r="D195" s="367"/>
      <c r="E195" s="325"/>
      <c r="F195" s="317"/>
      <c r="G195" s="258"/>
      <c r="J195" s="351"/>
      <c r="K195" s="351"/>
      <c r="L195" s="351"/>
    </row>
    <row r="196" spans="1:12" s="316" customFormat="1" x14ac:dyDescent="0.2">
      <c r="B196" s="447"/>
      <c r="E196" s="275"/>
      <c r="F196" s="317"/>
      <c r="G196" s="258"/>
      <c r="H196" s="258"/>
    </row>
    <row r="197" spans="1:12" s="316" customFormat="1" ht="18" x14ac:dyDescent="0.25">
      <c r="A197" s="234" t="s">
        <v>208</v>
      </c>
      <c r="B197" s="451"/>
      <c r="C197" s="352"/>
      <c r="D197" s="353"/>
      <c r="E197" s="352"/>
      <c r="F197" s="317"/>
      <c r="G197" s="258"/>
      <c r="H197" s="258"/>
    </row>
    <row r="198" spans="1:12" s="316" customFormat="1" ht="15.75" thickBot="1" x14ac:dyDescent="0.3">
      <c r="A198" s="247" t="s">
        <v>111</v>
      </c>
      <c r="B198" s="451"/>
      <c r="C198" s="352"/>
      <c r="D198" s="353"/>
      <c r="E198" s="352" t="s">
        <v>18</v>
      </c>
      <c r="F198" s="317"/>
      <c r="G198" s="258"/>
      <c r="H198" s="258"/>
    </row>
    <row r="199" spans="1:12" s="316" customFormat="1" ht="14.25" thickTop="1" thickBot="1" x14ac:dyDescent="0.25">
      <c r="A199" s="354" t="s">
        <v>5</v>
      </c>
      <c r="B199" s="251" t="s">
        <v>0</v>
      </c>
      <c r="C199" s="252" t="s">
        <v>1</v>
      </c>
      <c r="D199" s="253" t="s">
        <v>4</v>
      </c>
      <c r="E199" s="254" t="s">
        <v>6</v>
      </c>
      <c r="F199" s="317"/>
      <c r="G199" s="258"/>
      <c r="H199" s="258"/>
    </row>
    <row r="200" spans="1:12" s="316" customFormat="1" ht="15" x14ac:dyDescent="0.25">
      <c r="A200" s="309" t="s">
        <v>49</v>
      </c>
      <c r="B200" s="355">
        <f>SUM(B201:B201)</f>
        <v>4000000</v>
      </c>
      <c r="C200" s="355">
        <f>SUM(C201:C201)</f>
        <v>3441282.5</v>
      </c>
      <c r="D200" s="355">
        <f>SUM(D201:D201)</f>
        <v>2269251.41</v>
      </c>
      <c r="E200" s="551">
        <f t="shared" ref="E200" si="28">D200/C200*100</f>
        <v>65.942026264917232</v>
      </c>
      <c r="F200" s="317"/>
      <c r="G200" s="258"/>
      <c r="H200" s="258"/>
    </row>
    <row r="201" spans="1:12" s="316" customFormat="1" ht="13.5" thickBot="1" x14ac:dyDescent="0.25">
      <c r="A201" s="535" t="s">
        <v>173</v>
      </c>
      <c r="B201" s="414">
        <v>4000000</v>
      </c>
      <c r="C201" s="414">
        <v>3441282.5</v>
      </c>
      <c r="D201" s="414">
        <v>2269251.41</v>
      </c>
      <c r="E201" s="391">
        <f t="shared" ref="E201" si="29">D201/C201*100</f>
        <v>65.942026264917232</v>
      </c>
      <c r="F201" s="357">
        <v>101495</v>
      </c>
      <c r="G201" s="349" t="s">
        <v>128</v>
      </c>
    </row>
    <row r="202" spans="1:12" s="316" customFormat="1" ht="15" customHeight="1" thickTop="1" x14ac:dyDescent="0.2">
      <c r="A202" s="413"/>
      <c r="B202" s="320"/>
      <c r="C202" s="320"/>
      <c r="D202" s="320"/>
      <c r="E202" s="356"/>
      <c r="F202" s="357"/>
      <c r="G202" s="349"/>
    </row>
    <row r="203" spans="1:12" s="316" customFormat="1" ht="15" customHeight="1" x14ac:dyDescent="0.2">
      <c r="A203" s="413"/>
      <c r="B203" s="320"/>
      <c r="C203" s="320"/>
      <c r="D203" s="320"/>
      <c r="E203" s="356"/>
      <c r="F203" s="357"/>
      <c r="G203" s="349"/>
      <c r="I203" s="313" t="s">
        <v>35</v>
      </c>
      <c r="J203" s="314">
        <f>B201</f>
        <v>4000000</v>
      </c>
      <c r="K203" s="314">
        <f t="shared" ref="K203:L203" si="30">C201</f>
        <v>3441282.5</v>
      </c>
      <c r="L203" s="314">
        <f t="shared" si="30"/>
        <v>2269251.41</v>
      </c>
    </row>
    <row r="204" spans="1:12" s="316" customFormat="1" ht="18.75" thickBot="1" x14ac:dyDescent="0.25">
      <c r="A204" s="411" t="s">
        <v>50</v>
      </c>
      <c r="B204" s="452">
        <f>B200</f>
        <v>4000000</v>
      </c>
      <c r="C204" s="360">
        <f>C200</f>
        <v>3441282.5</v>
      </c>
      <c r="D204" s="360">
        <f>D200</f>
        <v>2269251.41</v>
      </c>
      <c r="E204" s="412">
        <f>D204/C204*100</f>
        <v>65.942026264917232</v>
      </c>
      <c r="F204" s="317"/>
      <c r="G204" s="258"/>
      <c r="J204" s="351">
        <f>J203</f>
        <v>4000000</v>
      </c>
      <c r="K204" s="351">
        <f t="shared" ref="K204:L204" si="31">K203</f>
        <v>3441282.5</v>
      </c>
      <c r="L204" s="351">
        <f t="shared" si="31"/>
        <v>2269251.41</v>
      </c>
    </row>
    <row r="205" spans="1:12" s="316" customFormat="1" ht="13.5" thickTop="1" x14ac:dyDescent="0.2">
      <c r="B205" s="447"/>
      <c r="E205" s="275"/>
      <c r="F205" s="317"/>
      <c r="G205" s="258"/>
    </row>
    <row r="206" spans="1:12" s="316" customFormat="1" x14ac:dyDescent="0.2">
      <c r="B206" s="447"/>
      <c r="E206" s="275"/>
      <c r="F206" s="317"/>
      <c r="G206" s="258"/>
    </row>
    <row r="207" spans="1:12" s="316" customFormat="1" ht="18" x14ac:dyDescent="0.25">
      <c r="A207" s="234" t="s">
        <v>209</v>
      </c>
      <c r="B207" s="451"/>
      <c r="C207" s="352"/>
      <c r="D207" s="353"/>
      <c r="E207" s="352"/>
      <c r="F207" s="317"/>
      <c r="G207" s="258"/>
      <c r="H207" s="258"/>
    </row>
    <row r="208" spans="1:12" s="316" customFormat="1" ht="15.75" thickBot="1" x14ac:dyDescent="0.3">
      <c r="A208" s="247" t="s">
        <v>111</v>
      </c>
      <c r="B208" s="451"/>
      <c r="C208" s="352"/>
      <c r="D208" s="353"/>
      <c r="E208" s="352" t="s">
        <v>18</v>
      </c>
      <c r="F208" s="317"/>
      <c r="G208" s="258"/>
      <c r="H208" s="258"/>
    </row>
    <row r="209" spans="1:12" s="316" customFormat="1" ht="14.25" thickTop="1" thickBot="1" x14ac:dyDescent="0.25">
      <c r="A209" s="354" t="s">
        <v>5</v>
      </c>
      <c r="B209" s="251" t="s">
        <v>0</v>
      </c>
      <c r="C209" s="252" t="s">
        <v>1</v>
      </c>
      <c r="D209" s="253" t="s">
        <v>4</v>
      </c>
      <c r="E209" s="254" t="s">
        <v>6</v>
      </c>
      <c r="F209" s="317"/>
      <c r="G209" s="258"/>
      <c r="H209" s="258"/>
      <c r="J209" s="483"/>
      <c r="K209" s="483"/>
      <c r="L209" s="483"/>
    </row>
    <row r="210" spans="1:12" s="316" customFormat="1" ht="15.75" thickTop="1" x14ac:dyDescent="0.25">
      <c r="A210" s="361" t="s">
        <v>112</v>
      </c>
      <c r="B210" s="362">
        <f>SUM(B211:B213)</f>
        <v>500000</v>
      </c>
      <c r="C210" s="362">
        <f>SUM(C211:C213)</f>
        <v>748816</v>
      </c>
      <c r="D210" s="362">
        <f>SUM(D211:D213)</f>
        <v>712808.63</v>
      </c>
      <c r="E210" s="280">
        <f t="shared" ref="E210:E213" si="32">D210/C210*100</f>
        <v>95.191426198158155</v>
      </c>
      <c r="F210" s="317"/>
      <c r="G210" s="258"/>
      <c r="H210" s="258"/>
      <c r="I210" s="313"/>
      <c r="J210" s="314"/>
      <c r="K210" s="314"/>
      <c r="L210" s="314"/>
    </row>
    <row r="211" spans="1:12" s="316" customFormat="1" x14ac:dyDescent="0.2">
      <c r="A211" s="563" t="s">
        <v>130</v>
      </c>
      <c r="B211" s="358">
        <v>500000</v>
      </c>
      <c r="C211" s="358">
        <v>500000</v>
      </c>
      <c r="D211" s="358">
        <v>482433.03</v>
      </c>
      <c r="E211" s="264">
        <f t="shared" si="32"/>
        <v>96.486606000000009</v>
      </c>
      <c r="F211" s="357">
        <v>101429</v>
      </c>
      <c r="G211" s="349" t="s">
        <v>128</v>
      </c>
      <c r="H211" s="258"/>
      <c r="J211" s="579"/>
      <c r="K211" s="579"/>
      <c r="L211" s="579"/>
    </row>
    <row r="212" spans="1:12" s="316" customFormat="1" x14ac:dyDescent="0.2">
      <c r="A212" s="629" t="s">
        <v>540</v>
      </c>
      <c r="B212" s="480">
        <v>0</v>
      </c>
      <c r="C212" s="480">
        <v>205182.02</v>
      </c>
      <c r="D212" s="480">
        <v>186741.62</v>
      </c>
      <c r="E212" s="264">
        <f t="shared" si="32"/>
        <v>91.012662805444648</v>
      </c>
      <c r="F212" s="357">
        <v>101472</v>
      </c>
      <c r="G212" s="349" t="s">
        <v>128</v>
      </c>
      <c r="H212" s="258"/>
    </row>
    <row r="213" spans="1:12" s="316" customFormat="1" ht="13.5" thickBot="1" x14ac:dyDescent="0.25">
      <c r="A213" s="562" t="s">
        <v>541</v>
      </c>
      <c r="B213" s="414">
        <v>0</v>
      </c>
      <c r="C213" s="414">
        <v>43633.98</v>
      </c>
      <c r="D213" s="414">
        <v>43633.98</v>
      </c>
      <c r="E213" s="391">
        <f t="shared" si="32"/>
        <v>100</v>
      </c>
      <c r="F213" s="357">
        <v>101473</v>
      </c>
      <c r="G213" s="349" t="s">
        <v>128</v>
      </c>
      <c r="H213" s="258"/>
    </row>
    <row r="214" spans="1:12" s="316" customFormat="1" ht="15.75" thickTop="1" x14ac:dyDescent="0.25">
      <c r="A214" s="363"/>
      <c r="B214" s="364"/>
      <c r="C214" s="364"/>
      <c r="D214" s="364"/>
      <c r="E214" s="365"/>
      <c r="F214" s="317"/>
      <c r="G214" s="258"/>
      <c r="H214" s="258"/>
    </row>
    <row r="215" spans="1:12" s="316" customFormat="1" ht="15" x14ac:dyDescent="0.25">
      <c r="A215" s="363"/>
      <c r="B215" s="364"/>
      <c r="C215" s="364"/>
      <c r="D215" s="364"/>
      <c r="E215" s="365"/>
      <c r="F215" s="317"/>
      <c r="G215" s="258"/>
      <c r="H215" s="258"/>
      <c r="I215" s="313" t="s">
        <v>35</v>
      </c>
      <c r="J215" s="314">
        <f>B211+B212+B213</f>
        <v>500000</v>
      </c>
      <c r="K215" s="314">
        <f>C211+C212+C213</f>
        <v>748816</v>
      </c>
      <c r="L215" s="314">
        <f>D211+D212+D213</f>
        <v>712808.63</v>
      </c>
    </row>
    <row r="216" spans="1:12" s="316" customFormat="1" ht="18.75" thickBot="1" x14ac:dyDescent="0.25">
      <c r="A216" s="359" t="s">
        <v>113</v>
      </c>
      <c r="B216" s="360">
        <f>B210</f>
        <v>500000</v>
      </c>
      <c r="C216" s="360">
        <f>C210</f>
        <v>748816</v>
      </c>
      <c r="D216" s="360">
        <f>D210</f>
        <v>712808.63</v>
      </c>
      <c r="E216" s="293">
        <f>D216/C216*100</f>
        <v>95.191426198158155</v>
      </c>
      <c r="F216" s="317"/>
      <c r="G216" s="258"/>
      <c r="H216" s="258"/>
      <c r="J216" s="351">
        <f>SUM(J215)</f>
        <v>500000</v>
      </c>
      <c r="K216" s="351">
        <f t="shared" ref="K216:L216" si="33">SUM(K215)</f>
        <v>748816</v>
      </c>
      <c r="L216" s="351">
        <f t="shared" si="33"/>
        <v>712808.63</v>
      </c>
    </row>
    <row r="217" spans="1:12" s="316" customFormat="1" ht="18.75" thickTop="1" x14ac:dyDescent="0.2">
      <c r="A217" s="366"/>
      <c r="B217" s="367"/>
      <c r="C217" s="367"/>
      <c r="D217" s="367"/>
      <c r="E217" s="325"/>
      <c r="F217" s="317"/>
      <c r="G217" s="258"/>
      <c r="H217" s="258"/>
      <c r="J217" s="351"/>
      <c r="K217" s="351"/>
      <c r="L217" s="351"/>
    </row>
    <row r="218" spans="1:12" s="316" customFormat="1" ht="18" x14ac:dyDescent="0.2">
      <c r="A218" s="366"/>
      <c r="B218" s="367"/>
      <c r="C218" s="367"/>
      <c r="D218" s="367"/>
      <c r="E218" s="325"/>
      <c r="F218" s="317"/>
      <c r="G218" s="258"/>
      <c r="H218" s="258"/>
      <c r="J218" s="351"/>
      <c r="K218" s="351"/>
      <c r="L218" s="351"/>
    </row>
    <row r="219" spans="1:12" s="316" customFormat="1" ht="18" x14ac:dyDescent="0.25">
      <c r="A219" s="234" t="s">
        <v>210</v>
      </c>
      <c r="B219" s="451"/>
      <c r="C219" s="352"/>
      <c r="D219" s="353"/>
      <c r="E219" s="352"/>
      <c r="F219" s="317"/>
      <c r="G219" s="258"/>
      <c r="H219" s="258"/>
    </row>
    <row r="220" spans="1:12" s="316" customFormat="1" ht="15.75" thickBot="1" x14ac:dyDescent="0.3">
      <c r="A220" s="247" t="s">
        <v>111</v>
      </c>
      <c r="B220" s="451"/>
      <c r="C220" s="352"/>
      <c r="D220" s="353"/>
      <c r="E220" s="352" t="s">
        <v>18</v>
      </c>
      <c r="F220" s="317"/>
      <c r="G220" s="258"/>
      <c r="H220" s="258"/>
    </row>
    <row r="221" spans="1:12" s="316" customFormat="1" ht="14.25" thickTop="1" thickBot="1" x14ac:dyDescent="0.25">
      <c r="A221" s="354" t="s">
        <v>5</v>
      </c>
      <c r="B221" s="251" t="s">
        <v>0</v>
      </c>
      <c r="C221" s="252" t="s">
        <v>1</v>
      </c>
      <c r="D221" s="253" t="s">
        <v>4</v>
      </c>
      <c r="E221" s="254" t="s">
        <v>6</v>
      </c>
      <c r="F221" s="317"/>
      <c r="G221" s="258"/>
      <c r="H221" s="258"/>
    </row>
    <row r="222" spans="1:12" s="316" customFormat="1" ht="15.75" thickTop="1" x14ac:dyDescent="0.25">
      <c r="A222" s="361" t="s">
        <v>204</v>
      </c>
      <c r="B222" s="362">
        <f>SUM(B223:B225)</f>
        <v>0</v>
      </c>
      <c r="C222" s="362">
        <f>SUM(C223:C225)</f>
        <v>1900757.5</v>
      </c>
      <c r="D222" s="362">
        <f>SUM(D223:D225)</f>
        <v>353924</v>
      </c>
      <c r="E222" s="280">
        <f>D222/C222*100</f>
        <v>18.620155385418709</v>
      </c>
      <c r="F222" s="317"/>
      <c r="G222" s="258"/>
      <c r="H222" s="258"/>
    </row>
    <row r="223" spans="1:12" s="316" customFormat="1" x14ac:dyDescent="0.2">
      <c r="A223" s="630" t="s">
        <v>303</v>
      </c>
      <c r="B223" s="358">
        <v>0</v>
      </c>
      <c r="C223" s="358">
        <v>1154617.5</v>
      </c>
      <c r="D223" s="358">
        <v>0</v>
      </c>
      <c r="E223" s="264">
        <f>D223/C223*100</f>
        <v>0</v>
      </c>
      <c r="F223" s="357">
        <v>101556</v>
      </c>
      <c r="G223" s="349" t="s">
        <v>128</v>
      </c>
      <c r="H223" s="258"/>
    </row>
    <row r="224" spans="1:12" s="316" customFormat="1" x14ac:dyDescent="0.2">
      <c r="A224" s="629" t="s">
        <v>304</v>
      </c>
      <c r="B224" s="358">
        <v>0</v>
      </c>
      <c r="C224" s="358">
        <v>646140</v>
      </c>
      <c r="D224" s="358">
        <v>270435</v>
      </c>
      <c r="E224" s="264">
        <f>D224/C224*100</f>
        <v>41.853932584269664</v>
      </c>
      <c r="F224" s="357">
        <v>101557</v>
      </c>
      <c r="G224" s="349" t="s">
        <v>128</v>
      </c>
      <c r="H224" s="258"/>
    </row>
    <row r="225" spans="1:12" s="316" customFormat="1" ht="13.5" thickBot="1" x14ac:dyDescent="0.25">
      <c r="A225" s="562" t="s">
        <v>305</v>
      </c>
      <c r="B225" s="575">
        <v>0</v>
      </c>
      <c r="C225" s="575">
        <v>100000</v>
      </c>
      <c r="D225" s="575">
        <v>83489</v>
      </c>
      <c r="E225" s="576">
        <f>D225/C225*100</f>
        <v>83.489000000000004</v>
      </c>
      <c r="F225" s="357">
        <v>101563</v>
      </c>
      <c r="G225" s="349" t="s">
        <v>128</v>
      </c>
      <c r="H225" s="258"/>
    </row>
    <row r="226" spans="1:12" s="316" customFormat="1" ht="15.75" thickTop="1" x14ac:dyDescent="0.25">
      <c r="A226" s="363"/>
      <c r="B226" s="364"/>
      <c r="C226" s="364"/>
      <c r="D226" s="364"/>
      <c r="E226" s="365"/>
      <c r="F226" s="317"/>
      <c r="G226" s="258"/>
      <c r="H226" s="258"/>
    </row>
    <row r="227" spans="1:12" s="316" customFormat="1" ht="15" x14ac:dyDescent="0.25">
      <c r="A227" s="363"/>
      <c r="B227" s="364"/>
      <c r="C227" s="364"/>
      <c r="D227" s="364"/>
      <c r="E227" s="365"/>
      <c r="F227" s="317"/>
      <c r="G227" s="258"/>
      <c r="H227" s="258"/>
      <c r="I227" s="313" t="s">
        <v>35</v>
      </c>
      <c r="J227" s="314">
        <f>B223+B224+B225</f>
        <v>0</v>
      </c>
      <c r="K227" s="314">
        <f>C223+C224+C225</f>
        <v>1900757.5</v>
      </c>
      <c r="L227" s="314">
        <f>D223+D224+D225</f>
        <v>353924</v>
      </c>
    </row>
    <row r="228" spans="1:12" s="316" customFormat="1" ht="18.75" thickBot="1" x14ac:dyDescent="0.25">
      <c r="A228" s="359" t="s">
        <v>206</v>
      </c>
      <c r="B228" s="360">
        <f>B222</f>
        <v>0</v>
      </c>
      <c r="C228" s="360">
        <f>C222</f>
        <v>1900757.5</v>
      </c>
      <c r="D228" s="360">
        <f>D222</f>
        <v>353924</v>
      </c>
      <c r="E228" s="293">
        <f>D228/C228*100</f>
        <v>18.620155385418709</v>
      </c>
      <c r="F228" s="317"/>
      <c r="G228" s="258"/>
      <c r="H228" s="258"/>
      <c r="J228" s="351">
        <f>SUM(J227:J227)</f>
        <v>0</v>
      </c>
      <c r="K228" s="351">
        <f>SUM(K227:K227)</f>
        <v>1900757.5</v>
      </c>
      <c r="L228" s="351">
        <f>SUM(L227:L227)</f>
        <v>353924</v>
      </c>
    </row>
    <row r="229" spans="1:12" s="316" customFormat="1" ht="18.75" thickTop="1" x14ac:dyDescent="0.2">
      <c r="A229" s="366"/>
      <c r="B229" s="367"/>
      <c r="C229" s="367"/>
      <c r="D229" s="367"/>
      <c r="E229" s="325"/>
      <c r="F229" s="317"/>
      <c r="G229" s="258"/>
      <c r="H229" s="258"/>
      <c r="J229" s="351"/>
      <c r="K229" s="351"/>
      <c r="L229" s="351"/>
    </row>
    <row r="230" spans="1:12" s="316" customFormat="1" ht="18" x14ac:dyDescent="0.2">
      <c r="A230" s="366"/>
      <c r="B230" s="367"/>
      <c r="C230" s="367"/>
      <c r="D230" s="367"/>
      <c r="E230" s="325"/>
      <c r="F230" s="317"/>
      <c r="G230" s="258"/>
      <c r="H230" s="258"/>
      <c r="J230" s="351"/>
      <c r="K230" s="351"/>
      <c r="L230" s="351"/>
    </row>
    <row r="231" spans="1:12" s="316" customFormat="1" ht="18" x14ac:dyDescent="0.25">
      <c r="A231" s="234" t="s">
        <v>223</v>
      </c>
      <c r="B231" s="451"/>
      <c r="C231" s="352"/>
      <c r="D231" s="353"/>
      <c r="E231" s="352"/>
      <c r="F231" s="317"/>
      <c r="G231" s="258"/>
      <c r="H231" s="258"/>
    </row>
    <row r="232" spans="1:12" s="316" customFormat="1" ht="15.75" thickBot="1" x14ac:dyDescent="0.3">
      <c r="A232" s="247" t="s">
        <v>111</v>
      </c>
      <c r="B232" s="451"/>
      <c r="C232" s="352"/>
      <c r="D232" s="353"/>
      <c r="E232" s="352" t="s">
        <v>18</v>
      </c>
      <c r="F232" s="317"/>
      <c r="G232" s="258"/>
      <c r="H232" s="258"/>
    </row>
    <row r="233" spans="1:12" s="316" customFormat="1" x14ac:dyDescent="0.2">
      <c r="A233" s="354" t="s">
        <v>5</v>
      </c>
      <c r="B233" s="251" t="s">
        <v>0</v>
      </c>
      <c r="C233" s="252" t="s">
        <v>1</v>
      </c>
      <c r="D233" s="253" t="s">
        <v>4</v>
      </c>
      <c r="E233" s="254" t="s">
        <v>6</v>
      </c>
      <c r="F233" s="317"/>
      <c r="G233" s="258"/>
      <c r="H233" s="258"/>
    </row>
    <row r="234" spans="1:12" s="316" customFormat="1" ht="15.75" thickTop="1" x14ac:dyDescent="0.25">
      <c r="A234" s="590" t="s">
        <v>226</v>
      </c>
      <c r="B234" s="591">
        <f>SUM(B235:B244)</f>
        <v>14134000</v>
      </c>
      <c r="C234" s="591">
        <f>SUM(C235:C244)</f>
        <v>21747074.419999998</v>
      </c>
      <c r="D234" s="591">
        <f>SUM(D235:D244)</f>
        <v>16704026.759999998</v>
      </c>
      <c r="E234" s="592">
        <f>D234/C234*100</f>
        <v>76.810454764609204</v>
      </c>
      <c r="F234" s="317"/>
      <c r="G234" s="258"/>
      <c r="H234" s="258"/>
    </row>
    <row r="235" spans="1:12" s="316" customFormat="1" x14ac:dyDescent="0.2">
      <c r="A235" s="621"/>
      <c r="B235" s="480">
        <v>10498000</v>
      </c>
      <c r="C235" s="480">
        <v>387469.68</v>
      </c>
      <c r="D235" s="480">
        <v>0</v>
      </c>
      <c r="E235" s="407">
        <f>D235/C235*100</f>
        <v>0</v>
      </c>
      <c r="F235" s="317"/>
      <c r="G235" s="349" t="s">
        <v>381</v>
      </c>
      <c r="H235" s="258"/>
    </row>
    <row r="236" spans="1:12" s="316" customFormat="1" x14ac:dyDescent="0.2">
      <c r="A236" s="518" t="s">
        <v>306</v>
      </c>
      <c r="B236" s="480">
        <v>927000</v>
      </c>
      <c r="C236" s="480">
        <v>208000</v>
      </c>
      <c r="D236" s="480">
        <v>126539.75</v>
      </c>
      <c r="E236" s="407">
        <f>D236/C236*100</f>
        <v>60.836418269230776</v>
      </c>
      <c r="F236" s="357">
        <v>101001</v>
      </c>
      <c r="G236" s="349" t="s">
        <v>229</v>
      </c>
      <c r="H236" s="258"/>
    </row>
    <row r="237" spans="1:12" s="316" customFormat="1" x14ac:dyDescent="0.2">
      <c r="A237" s="649" t="s">
        <v>307</v>
      </c>
      <c r="B237" s="480">
        <v>10000</v>
      </c>
      <c r="C237" s="480">
        <v>10000</v>
      </c>
      <c r="D237" s="480">
        <v>5109.66</v>
      </c>
      <c r="E237" s="407">
        <f t="shared" ref="E237:E243" si="34">D237/C237*100</f>
        <v>51.096600000000002</v>
      </c>
      <c r="F237" s="357">
        <v>101345</v>
      </c>
      <c r="G237" s="349" t="s">
        <v>229</v>
      </c>
      <c r="H237" s="258"/>
    </row>
    <row r="238" spans="1:12" s="316" customFormat="1" x14ac:dyDescent="0.2">
      <c r="A238" s="649"/>
      <c r="B238" s="480">
        <v>0</v>
      </c>
      <c r="C238" s="480">
        <v>28954.74</v>
      </c>
      <c r="D238" s="480">
        <v>28954.74</v>
      </c>
      <c r="E238" s="407">
        <f t="shared" si="34"/>
        <v>100</v>
      </c>
      <c r="F238" s="357">
        <v>101345</v>
      </c>
      <c r="G238" s="349" t="s">
        <v>230</v>
      </c>
      <c r="H238" s="258"/>
    </row>
    <row r="239" spans="1:12" s="316" customFormat="1" x14ac:dyDescent="0.2">
      <c r="A239" s="621" t="s">
        <v>308</v>
      </c>
      <c r="B239" s="480">
        <v>11000</v>
      </c>
      <c r="C239" s="480">
        <v>11000</v>
      </c>
      <c r="D239" s="480">
        <v>0</v>
      </c>
      <c r="E239" s="407">
        <f t="shared" si="34"/>
        <v>0</v>
      </c>
      <c r="F239" s="357">
        <v>101346</v>
      </c>
      <c r="G239" s="349" t="s">
        <v>229</v>
      </c>
      <c r="H239" s="258"/>
    </row>
    <row r="240" spans="1:12" s="316" customFormat="1" x14ac:dyDescent="0.2">
      <c r="A240" s="621"/>
      <c r="B240" s="480">
        <v>0</v>
      </c>
      <c r="C240" s="480">
        <v>11557612.109999999</v>
      </c>
      <c r="D240" s="480">
        <v>9765888.9299999997</v>
      </c>
      <c r="E240" s="407">
        <f t="shared" si="34"/>
        <v>84.497462253039743</v>
      </c>
      <c r="F240" s="357">
        <v>101554</v>
      </c>
      <c r="G240" s="349" t="s">
        <v>382</v>
      </c>
      <c r="H240" s="258"/>
    </row>
    <row r="241" spans="1:12" s="316" customFormat="1" x14ac:dyDescent="0.2">
      <c r="A241" s="621"/>
      <c r="B241" s="480">
        <v>0</v>
      </c>
      <c r="C241" s="480">
        <v>2663700</v>
      </c>
      <c r="D241" s="480">
        <v>1747592.2</v>
      </c>
      <c r="E241" s="407">
        <f t="shared" si="34"/>
        <v>65.607696061868822</v>
      </c>
      <c r="F241" s="357">
        <v>101554</v>
      </c>
      <c r="G241" s="349" t="s">
        <v>229</v>
      </c>
      <c r="H241" s="258"/>
    </row>
    <row r="242" spans="1:12" s="316" customFormat="1" x14ac:dyDescent="0.2">
      <c r="A242" s="621"/>
      <c r="B242" s="480">
        <v>0</v>
      </c>
      <c r="C242" s="480">
        <v>874950</v>
      </c>
      <c r="D242" s="480">
        <v>450737.79</v>
      </c>
      <c r="E242" s="407">
        <f t="shared" si="34"/>
        <v>51.515834047659858</v>
      </c>
      <c r="F242" s="357">
        <v>101555</v>
      </c>
      <c r="G242" s="349" t="s">
        <v>229</v>
      </c>
      <c r="H242" s="258"/>
    </row>
    <row r="243" spans="1:12" s="316" customFormat="1" x14ac:dyDescent="0.2">
      <c r="A243" s="518"/>
      <c r="B243" s="480">
        <v>0</v>
      </c>
      <c r="C243" s="480">
        <v>3317387.89</v>
      </c>
      <c r="D243" s="480">
        <v>2485625.16</v>
      </c>
      <c r="E243" s="407">
        <f t="shared" si="34"/>
        <v>74.927178925705917</v>
      </c>
      <c r="F243" s="357">
        <v>101555</v>
      </c>
      <c r="G243" s="349" t="s">
        <v>382</v>
      </c>
      <c r="H243" s="258"/>
    </row>
    <row r="244" spans="1:12" s="316" customFormat="1" ht="13.5" thickBot="1" x14ac:dyDescent="0.25">
      <c r="A244" s="562" t="s">
        <v>309</v>
      </c>
      <c r="B244" s="414">
        <v>2688000</v>
      </c>
      <c r="C244" s="414">
        <v>2688000</v>
      </c>
      <c r="D244" s="414">
        <v>2093578.53</v>
      </c>
      <c r="E244" s="391">
        <f>D244/C244*100</f>
        <v>77.886106026785711</v>
      </c>
      <c r="F244" s="357">
        <v>101509</v>
      </c>
      <c r="G244" s="349" t="s">
        <v>229</v>
      </c>
      <c r="H244" s="258"/>
    </row>
    <row r="245" spans="1:12" s="316" customFormat="1" ht="15.75" thickTop="1" x14ac:dyDescent="0.25">
      <c r="A245" s="363"/>
      <c r="B245" s="364"/>
      <c r="C245" s="364"/>
      <c r="D245" s="364"/>
      <c r="E245" s="365"/>
      <c r="F245" s="317"/>
      <c r="G245" s="258"/>
      <c r="H245" s="258"/>
      <c r="I245" s="313" t="s">
        <v>228</v>
      </c>
      <c r="J245" s="314">
        <f>B236+B237+B239+B244+B235+B241+B242</f>
        <v>14134000</v>
      </c>
      <c r="K245" s="314">
        <f t="shared" ref="K245:L245" si="35">C236+C237+C239+C244+C235+C241+C242</f>
        <v>6843119.6799999997</v>
      </c>
      <c r="L245" s="314">
        <f t="shared" si="35"/>
        <v>4423557.93</v>
      </c>
    </row>
    <row r="246" spans="1:12" s="316" customFormat="1" ht="15" x14ac:dyDescent="0.25">
      <c r="A246" s="363"/>
      <c r="B246" s="364"/>
      <c r="C246" s="364"/>
      <c r="D246" s="364"/>
      <c r="E246" s="365"/>
      <c r="F246" s="317"/>
      <c r="G246" s="258"/>
      <c r="H246" s="258"/>
      <c r="J246" s="486">
        <f>B238+B240+B243</f>
        <v>0</v>
      </c>
      <c r="K246" s="486">
        <f t="shared" ref="K246:L246" si="36">C238+C240+C243</f>
        <v>14903954.74</v>
      </c>
      <c r="L246" s="486">
        <f t="shared" si="36"/>
        <v>12280468.83</v>
      </c>
    </row>
    <row r="247" spans="1:12" s="316" customFormat="1" ht="18.75" thickBot="1" x14ac:dyDescent="0.25">
      <c r="A247" s="359" t="s">
        <v>227</v>
      </c>
      <c r="B247" s="360">
        <f>B234</f>
        <v>14134000</v>
      </c>
      <c r="C247" s="360">
        <f>C234</f>
        <v>21747074.419999998</v>
      </c>
      <c r="D247" s="360">
        <f>D234</f>
        <v>16704026.759999998</v>
      </c>
      <c r="E247" s="293">
        <f>D247/C247*100</f>
        <v>76.810454764609204</v>
      </c>
      <c r="F247" s="317"/>
      <c r="G247" s="258"/>
      <c r="H247" s="258"/>
      <c r="J247" s="351">
        <f>SUM(J245:J246)</f>
        <v>14134000</v>
      </c>
      <c r="K247" s="351">
        <f t="shared" ref="K247:L247" si="37">SUM(K245:K246)</f>
        <v>21747074.420000002</v>
      </c>
      <c r="L247" s="351">
        <f t="shared" si="37"/>
        <v>16704026.76</v>
      </c>
    </row>
    <row r="248" spans="1:12" s="316" customFormat="1" ht="18.75" thickTop="1" x14ac:dyDescent="0.2">
      <c r="A248" s="366"/>
      <c r="B248" s="367"/>
      <c r="C248" s="367"/>
      <c r="D248" s="367"/>
      <c r="E248" s="325"/>
      <c r="F248" s="317"/>
      <c r="G248" s="258"/>
      <c r="H248" s="258"/>
      <c r="J248" s="351"/>
      <c r="K248" s="351"/>
      <c r="L248" s="351"/>
    </row>
    <row r="249" spans="1:12" s="316" customFormat="1" ht="18" x14ac:dyDescent="0.2">
      <c r="A249" s="366"/>
      <c r="B249" s="367"/>
      <c r="C249" s="367"/>
      <c r="D249" s="367"/>
      <c r="E249" s="325"/>
      <c r="F249" s="317"/>
      <c r="G249" s="258"/>
      <c r="H249" s="258"/>
      <c r="J249" s="351"/>
      <c r="K249" s="351"/>
      <c r="L249" s="351"/>
    </row>
    <row r="250" spans="1:12" s="316" customFormat="1" ht="18" x14ac:dyDescent="0.25">
      <c r="A250" s="234" t="s">
        <v>224</v>
      </c>
      <c r="B250" s="451"/>
      <c r="C250" s="352"/>
      <c r="D250" s="353"/>
      <c r="E250" s="352"/>
      <c r="F250" s="317"/>
      <c r="G250" s="258"/>
      <c r="H250" s="258"/>
    </row>
    <row r="251" spans="1:12" s="316" customFormat="1" ht="15.75" thickBot="1" x14ac:dyDescent="0.3">
      <c r="A251" s="247" t="s">
        <v>111</v>
      </c>
      <c r="B251" s="451"/>
      <c r="C251" s="352"/>
      <c r="D251" s="353"/>
      <c r="E251" s="352" t="s">
        <v>18</v>
      </c>
      <c r="F251" s="317"/>
      <c r="G251" s="258"/>
      <c r="H251" s="258"/>
    </row>
    <row r="252" spans="1:12" s="316" customFormat="1" ht="14.25" thickTop="1" thickBot="1" x14ac:dyDescent="0.25">
      <c r="A252" s="354" t="s">
        <v>5</v>
      </c>
      <c r="B252" s="251" t="s">
        <v>0</v>
      </c>
      <c r="C252" s="252" t="s">
        <v>1</v>
      </c>
      <c r="D252" s="253" t="s">
        <v>4</v>
      </c>
      <c r="E252" s="254" t="s">
        <v>6</v>
      </c>
      <c r="F252" s="317"/>
      <c r="G252" s="258"/>
      <c r="H252" s="258"/>
    </row>
    <row r="253" spans="1:12" s="316" customFormat="1" ht="15.75" thickTop="1" x14ac:dyDescent="0.25">
      <c r="A253" s="361" t="s">
        <v>136</v>
      </c>
      <c r="B253" s="362">
        <f>SUM(B254:B257)</f>
        <v>218915000</v>
      </c>
      <c r="C253" s="362">
        <f>SUM(C254:C257)</f>
        <v>217767267.38999999</v>
      </c>
      <c r="D253" s="362">
        <f>SUM(D254:D257)</f>
        <v>215908670.78</v>
      </c>
      <c r="E253" s="280">
        <f>D253/C253*100</f>
        <v>99.146521590560525</v>
      </c>
      <c r="F253" s="317"/>
      <c r="G253" s="258"/>
      <c r="H253" s="258"/>
    </row>
    <row r="254" spans="1:12" s="316" customFormat="1" x14ac:dyDescent="0.2">
      <c r="A254" s="650" t="s">
        <v>145</v>
      </c>
      <c r="B254" s="358">
        <v>41860000</v>
      </c>
      <c r="C254" s="358">
        <v>43560000</v>
      </c>
      <c r="D254" s="358">
        <v>42658937.960000001</v>
      </c>
      <c r="E254" s="264">
        <f t="shared" ref="E254:E255" si="38">D254/C254*100</f>
        <v>97.931446189164376</v>
      </c>
      <c r="F254" s="266">
        <v>101477</v>
      </c>
      <c r="G254" s="349" t="s">
        <v>128</v>
      </c>
      <c r="H254" s="258"/>
    </row>
    <row r="255" spans="1:12" s="316" customFormat="1" x14ac:dyDescent="0.2">
      <c r="A255" s="651"/>
      <c r="B255" s="572">
        <v>177055000</v>
      </c>
      <c r="C255" s="572">
        <v>173212027.38999999</v>
      </c>
      <c r="D255" s="572">
        <v>172834702.81999999</v>
      </c>
      <c r="E255" s="264">
        <f t="shared" si="38"/>
        <v>99.782160294706074</v>
      </c>
      <c r="F255" s="266">
        <v>101477</v>
      </c>
      <c r="G255" s="397" t="s">
        <v>159</v>
      </c>
      <c r="H255" s="258"/>
    </row>
    <row r="256" spans="1:12" s="316" customFormat="1" x14ac:dyDescent="0.2">
      <c r="A256" s="621" t="s">
        <v>310</v>
      </c>
      <c r="B256" s="441">
        <v>0</v>
      </c>
      <c r="C256" s="408">
        <v>495240</v>
      </c>
      <c r="D256" s="408">
        <v>174240</v>
      </c>
      <c r="E256" s="407">
        <f>D256/C256*100</f>
        <v>35.182941604070756</v>
      </c>
      <c r="F256" s="266">
        <v>101544</v>
      </c>
      <c r="G256" s="349" t="s">
        <v>128</v>
      </c>
      <c r="H256" s="258"/>
    </row>
    <row r="257" spans="1:12" s="269" customFormat="1" ht="13.5" thickBot="1" x14ac:dyDescent="0.25">
      <c r="A257" s="574"/>
      <c r="B257" s="523">
        <v>0</v>
      </c>
      <c r="C257" s="622">
        <v>500000</v>
      </c>
      <c r="D257" s="622">
        <v>240790</v>
      </c>
      <c r="E257" s="576">
        <f>D257/C257*100</f>
        <v>48.158000000000001</v>
      </c>
      <c r="F257" s="266">
        <v>101625</v>
      </c>
      <c r="G257" s="349" t="s">
        <v>128</v>
      </c>
      <c r="H257" s="270"/>
    </row>
    <row r="258" spans="1:12" ht="15.75" thickTop="1" x14ac:dyDescent="0.25">
      <c r="A258" s="363"/>
      <c r="B258" s="364"/>
      <c r="C258" s="364"/>
      <c r="D258" s="364"/>
      <c r="E258" s="365"/>
      <c r="F258" s="317"/>
      <c r="G258" s="258"/>
      <c r="H258" s="258"/>
      <c r="I258" s="313" t="s">
        <v>35</v>
      </c>
      <c r="J258" s="314">
        <f>B254+B256+B257</f>
        <v>41860000</v>
      </c>
      <c r="K258" s="314">
        <f t="shared" ref="K258:L258" si="39">C254+C256+C257</f>
        <v>44555240</v>
      </c>
      <c r="L258" s="314">
        <f t="shared" si="39"/>
        <v>43073967.960000001</v>
      </c>
    </row>
    <row r="259" spans="1:12" ht="15" x14ac:dyDescent="0.25">
      <c r="A259" s="363"/>
      <c r="B259" s="364"/>
      <c r="C259" s="364"/>
      <c r="D259" s="364"/>
      <c r="E259" s="365"/>
      <c r="F259" s="317"/>
      <c r="G259" s="258"/>
      <c r="H259" s="258"/>
      <c r="J259" s="483">
        <f>B255</f>
        <v>177055000</v>
      </c>
      <c r="K259" s="483">
        <f t="shared" ref="K259:L259" si="40">C255</f>
        <v>173212027.38999999</v>
      </c>
      <c r="L259" s="483">
        <f t="shared" si="40"/>
        <v>172834702.81999999</v>
      </c>
    </row>
    <row r="260" spans="1:12" ht="18.75" thickBot="1" x14ac:dyDescent="0.25">
      <c r="A260" s="359" t="s">
        <v>134</v>
      </c>
      <c r="B260" s="360">
        <f>B253</f>
        <v>218915000</v>
      </c>
      <c r="C260" s="360">
        <f>C253</f>
        <v>217767267.38999999</v>
      </c>
      <c r="D260" s="360">
        <f>D253</f>
        <v>215908670.78</v>
      </c>
      <c r="E260" s="293">
        <f>D260/C260*100</f>
        <v>99.146521590560525</v>
      </c>
      <c r="F260" s="317"/>
      <c r="G260" s="258"/>
      <c r="H260" s="258"/>
      <c r="I260" s="316"/>
      <c r="J260" s="580">
        <f>SUM(J258:J258)</f>
        <v>41860000</v>
      </c>
      <c r="K260" s="580">
        <f>SUM(K258:K258)</f>
        <v>44555240</v>
      </c>
      <c r="L260" s="580">
        <f>SUM(L258:L258)</f>
        <v>43073967.960000001</v>
      </c>
    </row>
    <row r="261" spans="1:12" ht="13.5" thickTop="1" x14ac:dyDescent="0.2">
      <c r="F261" s="369"/>
      <c r="G261" s="258"/>
      <c r="H261" s="258"/>
    </row>
    <row r="262" spans="1:12" x14ac:dyDescent="0.2">
      <c r="F262" s="369"/>
      <c r="G262" s="258"/>
      <c r="H262" s="258"/>
    </row>
    <row r="263" spans="1:12" s="316" customFormat="1" ht="18" x14ac:dyDescent="0.25">
      <c r="A263" s="234" t="s">
        <v>231</v>
      </c>
      <c r="B263" s="451"/>
      <c r="C263" s="352"/>
      <c r="D263" s="353"/>
      <c r="E263" s="352"/>
      <c r="F263" s="317"/>
      <c r="G263" s="258"/>
      <c r="H263" s="258"/>
    </row>
    <row r="264" spans="1:12" s="316" customFormat="1" ht="15.75" thickBot="1" x14ac:dyDescent="0.3">
      <c r="A264" s="247" t="s">
        <v>111</v>
      </c>
      <c r="B264" s="451"/>
      <c r="C264" s="352"/>
      <c r="D264" s="353"/>
      <c r="E264" s="352" t="s">
        <v>18</v>
      </c>
      <c r="F264" s="317"/>
      <c r="G264" s="258"/>
      <c r="H264" s="258"/>
    </row>
    <row r="265" spans="1:12" s="316" customFormat="1" ht="14.25" thickTop="1" thickBot="1" x14ac:dyDescent="0.25">
      <c r="A265" s="354" t="s">
        <v>5</v>
      </c>
      <c r="B265" s="251" t="s">
        <v>0</v>
      </c>
      <c r="C265" s="252" t="s">
        <v>1</v>
      </c>
      <c r="D265" s="253" t="s">
        <v>4</v>
      </c>
      <c r="E265" s="254" t="s">
        <v>6</v>
      </c>
      <c r="F265" s="317"/>
      <c r="G265" s="258"/>
      <c r="H265" s="258"/>
    </row>
    <row r="266" spans="1:12" s="316" customFormat="1" ht="15.75" thickTop="1" x14ac:dyDescent="0.25">
      <c r="A266" s="361" t="s">
        <v>232</v>
      </c>
      <c r="B266" s="362">
        <f>SUM(B267:B267)</f>
        <v>7000000</v>
      </c>
      <c r="C266" s="362">
        <f>SUM(C267:C267)</f>
        <v>11000000</v>
      </c>
      <c r="D266" s="362">
        <f>SUM(D267:D267)</f>
        <v>11000000</v>
      </c>
      <c r="E266" s="280">
        <f>D266/C266*100</f>
        <v>100</v>
      </c>
      <c r="F266" s="317"/>
      <c r="G266" s="258"/>
      <c r="H266" s="258"/>
    </row>
    <row r="267" spans="1:12" s="316" customFormat="1" ht="13.5" thickBot="1" x14ac:dyDescent="0.25">
      <c r="A267" s="574"/>
      <c r="B267" s="575">
        <v>7000000</v>
      </c>
      <c r="C267" s="575">
        <v>11000000</v>
      </c>
      <c r="D267" s="575">
        <v>11000000</v>
      </c>
      <c r="E267" s="576">
        <f t="shared" ref="E267" si="41">D267/C267*100</f>
        <v>100</v>
      </c>
      <c r="F267" s="266"/>
      <c r="G267" s="349" t="s">
        <v>234</v>
      </c>
      <c r="H267" s="258"/>
    </row>
    <row r="268" spans="1:12" ht="15.75" thickTop="1" x14ac:dyDescent="0.25">
      <c r="A268" s="363"/>
      <c r="B268" s="364"/>
      <c r="C268" s="364"/>
      <c r="D268" s="364"/>
      <c r="E268" s="365"/>
      <c r="F268" s="317"/>
      <c r="G268" s="258"/>
      <c r="H268" s="258"/>
    </row>
    <row r="269" spans="1:12" ht="15" x14ac:dyDescent="0.25">
      <c r="A269" s="363"/>
      <c r="B269" s="364"/>
      <c r="C269" s="364"/>
      <c r="D269" s="364"/>
      <c r="E269" s="365"/>
      <c r="F269" s="317"/>
      <c r="G269" s="258"/>
      <c r="H269" s="258"/>
      <c r="I269" s="313" t="s">
        <v>234</v>
      </c>
      <c r="J269" s="314">
        <f>B267</f>
        <v>7000000</v>
      </c>
      <c r="K269" s="314">
        <f t="shared" ref="K269:L269" si="42">C267</f>
        <v>11000000</v>
      </c>
      <c r="L269" s="314">
        <f t="shared" si="42"/>
        <v>11000000</v>
      </c>
    </row>
    <row r="270" spans="1:12" ht="16.5" thickBot="1" x14ac:dyDescent="0.25">
      <c r="A270" s="581" t="s">
        <v>233</v>
      </c>
      <c r="B270" s="360">
        <f>B266</f>
        <v>7000000</v>
      </c>
      <c r="C270" s="360">
        <f>C266</f>
        <v>11000000</v>
      </c>
      <c r="D270" s="360">
        <f>D266</f>
        <v>11000000</v>
      </c>
      <c r="E270" s="293">
        <f>D270/C270*100</f>
        <v>100</v>
      </c>
      <c r="F270" s="317"/>
      <c r="G270" s="258"/>
      <c r="H270" s="258"/>
      <c r="I270" s="316"/>
      <c r="J270" s="580">
        <f>SUM(J269:J269)</f>
        <v>7000000</v>
      </c>
      <c r="K270" s="580">
        <f>SUM(K269:K269)</f>
        <v>11000000</v>
      </c>
      <c r="L270" s="580">
        <f>SUM(L269:L269)</f>
        <v>11000000</v>
      </c>
    </row>
    <row r="271" spans="1:12" ht="16.5" thickTop="1" x14ac:dyDescent="0.2">
      <c r="A271" s="582"/>
      <c r="B271" s="367"/>
      <c r="C271" s="367"/>
      <c r="D271" s="367"/>
      <c r="E271" s="325"/>
      <c r="F271" s="317"/>
      <c r="G271" s="258"/>
      <c r="H271" s="258"/>
      <c r="I271" s="316"/>
      <c r="J271" s="580"/>
      <c r="K271" s="580"/>
      <c r="L271" s="580"/>
    </row>
    <row r="272" spans="1:12" ht="15" customHeight="1" x14ac:dyDescent="0.2">
      <c r="A272" s="366"/>
      <c r="B272" s="367"/>
      <c r="C272" s="367"/>
      <c r="D272" s="367"/>
      <c r="E272" s="325"/>
      <c r="F272" s="317"/>
      <c r="G272" s="258"/>
      <c r="H272" s="258"/>
      <c r="I272" s="316"/>
      <c r="J272" s="580"/>
      <c r="K272" s="580"/>
      <c r="L272" s="580"/>
    </row>
    <row r="273" spans="1:12" s="316" customFormat="1" ht="18" x14ac:dyDescent="0.25">
      <c r="A273" s="234" t="s">
        <v>238</v>
      </c>
      <c r="B273" s="451"/>
      <c r="C273" s="352"/>
      <c r="D273" s="353"/>
      <c r="E273" s="352"/>
      <c r="F273" s="317"/>
      <c r="G273" s="258"/>
      <c r="H273" s="258"/>
    </row>
    <row r="274" spans="1:12" s="316" customFormat="1" ht="15.75" thickBot="1" x14ac:dyDescent="0.3">
      <c r="A274" s="247" t="s">
        <v>111</v>
      </c>
      <c r="B274" s="451"/>
      <c r="C274" s="352"/>
      <c r="D274" s="353"/>
      <c r="E274" s="352" t="s">
        <v>18</v>
      </c>
      <c r="F274" s="317"/>
      <c r="G274" s="258"/>
      <c r="H274" s="258"/>
    </row>
    <row r="275" spans="1:12" s="316" customFormat="1" ht="14.25" thickTop="1" thickBot="1" x14ac:dyDescent="0.25">
      <c r="A275" s="354" t="s">
        <v>5</v>
      </c>
      <c r="B275" s="251" t="s">
        <v>0</v>
      </c>
      <c r="C275" s="252" t="s">
        <v>1</v>
      </c>
      <c r="D275" s="253" t="s">
        <v>4</v>
      </c>
      <c r="E275" s="254" t="s">
        <v>6</v>
      </c>
      <c r="F275" s="317"/>
      <c r="G275" s="258"/>
      <c r="H275" s="258"/>
    </row>
    <row r="276" spans="1:12" s="316" customFormat="1" ht="15.75" thickTop="1" x14ac:dyDescent="0.25">
      <c r="A276" s="361" t="s">
        <v>239</v>
      </c>
      <c r="B276" s="362">
        <f>SUM(B277:B277)</f>
        <v>5500000</v>
      </c>
      <c r="C276" s="362">
        <f>SUM(C277:C277)</f>
        <v>1616148.35</v>
      </c>
      <c r="D276" s="362">
        <f>SUM(D277:D277)</f>
        <v>0</v>
      </c>
      <c r="E276" s="280">
        <f>D276/C276*100</f>
        <v>0</v>
      </c>
      <c r="F276" s="317"/>
      <c r="G276" s="258"/>
      <c r="H276" s="258"/>
    </row>
    <row r="277" spans="1:12" s="316" customFormat="1" ht="13.5" thickBot="1" x14ac:dyDescent="0.25">
      <c r="A277" s="574"/>
      <c r="B277" s="575">
        <v>5500000</v>
      </c>
      <c r="C277" s="575">
        <v>1616148.35</v>
      </c>
      <c r="D277" s="575">
        <v>0</v>
      </c>
      <c r="E277" s="576">
        <f t="shared" ref="E277" si="43">D277/C277*100</f>
        <v>0</v>
      </c>
      <c r="F277" s="266"/>
      <c r="G277" s="349" t="s">
        <v>242</v>
      </c>
      <c r="H277" s="258"/>
    </row>
    <row r="278" spans="1:12" ht="15.75" thickTop="1" x14ac:dyDescent="0.25">
      <c r="A278" s="363"/>
      <c r="B278" s="364"/>
      <c r="C278" s="364"/>
      <c r="D278" s="364"/>
      <c r="E278" s="365"/>
      <c r="F278" s="317"/>
      <c r="G278" s="258"/>
      <c r="H278" s="258"/>
    </row>
    <row r="279" spans="1:12" ht="15" x14ac:dyDescent="0.25">
      <c r="A279" s="363"/>
      <c r="B279" s="364"/>
      <c r="C279" s="364"/>
      <c r="D279" s="364"/>
      <c r="E279" s="365"/>
      <c r="F279" s="317"/>
      <c r="G279" s="258"/>
      <c r="H279" s="258"/>
      <c r="I279" s="313" t="s">
        <v>242</v>
      </c>
      <c r="J279" s="314">
        <f>B277</f>
        <v>5500000</v>
      </c>
      <c r="K279" s="314">
        <f t="shared" ref="K279" si="44">C277</f>
        <v>1616148.35</v>
      </c>
      <c r="L279" s="314">
        <f t="shared" ref="L279" si="45">D277</f>
        <v>0</v>
      </c>
    </row>
    <row r="280" spans="1:12" ht="16.5" thickBot="1" x14ac:dyDescent="0.25">
      <c r="A280" s="581" t="s">
        <v>240</v>
      </c>
      <c r="B280" s="360">
        <f>B276</f>
        <v>5500000</v>
      </c>
      <c r="C280" s="360">
        <f>C276</f>
        <v>1616148.35</v>
      </c>
      <c r="D280" s="360">
        <f>D276</f>
        <v>0</v>
      </c>
      <c r="E280" s="293">
        <f>D280/C280*100</f>
        <v>0</v>
      </c>
      <c r="F280" s="547"/>
      <c r="G280" s="548"/>
      <c r="H280" s="548"/>
      <c r="I280" s="277"/>
      <c r="J280" s="549">
        <f>SUM(J279:J279)</f>
        <v>5500000</v>
      </c>
      <c r="K280" s="549">
        <f>SUM(K279:K279)</f>
        <v>1616148.35</v>
      </c>
      <c r="L280" s="549">
        <f>SUM(L279:L279)</f>
        <v>0</v>
      </c>
    </row>
    <row r="281" spans="1:12" ht="16.5" thickTop="1" x14ac:dyDescent="0.2">
      <c r="A281" s="582"/>
      <c r="B281" s="367"/>
      <c r="C281" s="367"/>
      <c r="D281" s="367"/>
      <c r="E281" s="325"/>
      <c r="F281" s="317"/>
      <c r="G281" s="258"/>
      <c r="H281" s="258"/>
      <c r="I281" s="316"/>
      <c r="J281" s="580"/>
      <c r="K281" s="580"/>
      <c r="L281" s="580"/>
    </row>
    <row r="282" spans="1:12" ht="15.75" x14ac:dyDescent="0.2">
      <c r="A282" s="582"/>
      <c r="B282" s="367"/>
      <c r="C282" s="367"/>
      <c r="D282" s="367"/>
      <c r="E282" s="325"/>
      <c r="F282" s="317"/>
      <c r="G282" s="258"/>
      <c r="H282" s="258"/>
      <c r="I282" s="316"/>
      <c r="J282" s="580"/>
      <c r="K282" s="580"/>
      <c r="L282" s="580"/>
    </row>
    <row r="283" spans="1:12" ht="14.25" x14ac:dyDescent="0.2">
      <c r="A283" s="370" t="s">
        <v>12</v>
      </c>
      <c r="B283" s="370"/>
      <c r="C283" s="370"/>
      <c r="D283" s="370"/>
      <c r="E283" s="371"/>
      <c r="F283" s="372"/>
      <c r="G283" s="258"/>
      <c r="H283" s="258"/>
    </row>
    <row r="284" spans="1:12" ht="14.25" x14ac:dyDescent="0.2">
      <c r="A284" s="373" t="s">
        <v>16</v>
      </c>
      <c r="B284" s="368">
        <f>SUM(B64)</f>
        <v>97297000</v>
      </c>
      <c r="C284" s="368">
        <f>SUM(C64)</f>
        <v>113869552.43999997</v>
      </c>
      <c r="D284" s="368">
        <f>SUM(D64)</f>
        <v>94843805.370000005</v>
      </c>
      <c r="E284" s="374">
        <f t="shared" ref="E284:E297" si="46">D284/C284*100</f>
        <v>83.291629182414681</v>
      </c>
      <c r="F284" s="375"/>
      <c r="G284" s="258"/>
      <c r="H284" s="258"/>
    </row>
    <row r="285" spans="1:12" ht="14.25" x14ac:dyDescent="0.2">
      <c r="A285" s="373" t="s">
        <v>15</v>
      </c>
      <c r="B285" s="368">
        <f>SUM(B107)</f>
        <v>247133000</v>
      </c>
      <c r="C285" s="368">
        <f>SUM(C107)</f>
        <v>357485851.95000005</v>
      </c>
      <c r="D285" s="368">
        <f>SUM(D107)</f>
        <v>277202035.78000003</v>
      </c>
      <c r="E285" s="374">
        <f t="shared" si="46"/>
        <v>77.542099713297475</v>
      </c>
      <c r="F285" s="376"/>
      <c r="G285" s="258"/>
      <c r="H285" s="258"/>
    </row>
    <row r="286" spans="1:12" ht="14.25" x14ac:dyDescent="0.2">
      <c r="A286" s="373" t="s">
        <v>17</v>
      </c>
      <c r="B286" s="368">
        <f>SUM(B121)</f>
        <v>39093000</v>
      </c>
      <c r="C286" s="368">
        <f>SUM(C121)</f>
        <v>42314362.619999997</v>
      </c>
      <c r="D286" s="368">
        <f>SUM(D121)</f>
        <v>41473028.75</v>
      </c>
      <c r="E286" s="374">
        <f t="shared" si="46"/>
        <v>98.011706149149603</v>
      </c>
      <c r="G286" s="258"/>
      <c r="H286" s="258"/>
    </row>
    <row r="287" spans="1:12" ht="14.25" x14ac:dyDescent="0.2">
      <c r="A287" s="373" t="s">
        <v>13</v>
      </c>
      <c r="B287" s="368">
        <f>SUM(B143)</f>
        <v>121093000</v>
      </c>
      <c r="C287" s="368">
        <f>SUM(C143)</f>
        <v>391720434.78999996</v>
      </c>
      <c r="D287" s="368">
        <f>SUM(D143)</f>
        <v>383008468.67000002</v>
      </c>
      <c r="E287" s="374">
        <f t="shared" si="46"/>
        <v>97.775973539733656</v>
      </c>
      <c r="G287" s="258"/>
      <c r="H287" s="258"/>
    </row>
    <row r="288" spans="1:12" ht="14.25" x14ac:dyDescent="0.2">
      <c r="A288" s="373" t="s">
        <v>14</v>
      </c>
      <c r="B288" s="368">
        <f>SUM(B176)</f>
        <v>62770000</v>
      </c>
      <c r="C288" s="368">
        <f>SUM(C176)</f>
        <v>76887815.610000014</v>
      </c>
      <c r="D288" s="368">
        <f>SUM(D176)</f>
        <v>71694763.030000016</v>
      </c>
      <c r="E288" s="374">
        <f t="shared" si="46"/>
        <v>93.245935602669675</v>
      </c>
      <c r="G288" s="258"/>
      <c r="H288" s="258"/>
      <c r="I288" s="313" t="s">
        <v>242</v>
      </c>
      <c r="J288" s="541">
        <f>J279</f>
        <v>5500000</v>
      </c>
      <c r="K288" s="541">
        <f t="shared" ref="K288:L288" si="47">K279</f>
        <v>1616148.35</v>
      </c>
      <c r="L288" s="541">
        <f t="shared" si="47"/>
        <v>0</v>
      </c>
    </row>
    <row r="289" spans="1:14" ht="14.25" x14ac:dyDescent="0.2">
      <c r="A289" s="373" t="s">
        <v>217</v>
      </c>
      <c r="B289" s="368">
        <f>B194</f>
        <v>2979000</v>
      </c>
      <c r="C289" s="368">
        <f>C194</f>
        <v>23896886.859999999</v>
      </c>
      <c r="D289" s="368">
        <f>D194</f>
        <v>18860501.489999998</v>
      </c>
      <c r="E289" s="374">
        <f t="shared" si="46"/>
        <v>78.92451263837971</v>
      </c>
      <c r="G289" s="258"/>
      <c r="H289" s="258"/>
      <c r="I289" s="313" t="s">
        <v>234</v>
      </c>
      <c r="J289" s="541">
        <f>J269</f>
        <v>7000000</v>
      </c>
      <c r="K289" s="541">
        <f t="shared" ref="K289:L289" si="48">K269</f>
        <v>11000000</v>
      </c>
      <c r="L289" s="541">
        <f t="shared" si="48"/>
        <v>11000000</v>
      </c>
    </row>
    <row r="290" spans="1:14" ht="14.25" x14ac:dyDescent="0.2">
      <c r="A290" s="373" t="s">
        <v>51</v>
      </c>
      <c r="B290" s="368">
        <f>B204</f>
        <v>4000000</v>
      </c>
      <c r="C290" s="368">
        <f>C204</f>
        <v>3441282.5</v>
      </c>
      <c r="D290" s="368">
        <f>D204</f>
        <v>2269251.41</v>
      </c>
      <c r="E290" s="374">
        <f t="shared" si="46"/>
        <v>65.942026264917232</v>
      </c>
      <c r="G290" s="258"/>
      <c r="H290" s="258"/>
      <c r="I290" s="588" t="s">
        <v>37</v>
      </c>
      <c r="J290" s="589">
        <f>J138+J139</f>
        <v>94576000</v>
      </c>
      <c r="K290" s="589">
        <f>K138+K139</f>
        <v>43551167.910000004</v>
      </c>
      <c r="L290" s="589">
        <f>L138+L139</f>
        <v>34839201.789999999</v>
      </c>
    </row>
    <row r="291" spans="1:14" ht="14.25" x14ac:dyDescent="0.2">
      <c r="A291" s="373" t="s">
        <v>114</v>
      </c>
      <c r="B291" s="368">
        <f>B216</f>
        <v>500000</v>
      </c>
      <c r="C291" s="368">
        <f>C216</f>
        <v>748816</v>
      </c>
      <c r="D291" s="368">
        <f>D216</f>
        <v>712808.63</v>
      </c>
      <c r="E291" s="374">
        <f t="shared" si="46"/>
        <v>95.191426198158155</v>
      </c>
      <c r="G291" s="258"/>
      <c r="H291" s="258"/>
      <c r="I291" s="262" t="s">
        <v>38</v>
      </c>
      <c r="J291" s="380">
        <f>J118+J119+J99+J100+J58+J59+J172+J173</f>
        <v>369223000</v>
      </c>
      <c r="K291" s="380">
        <f>K118+K119+K99+K100+K58+K59+K172+K173</f>
        <v>365022866.25</v>
      </c>
      <c r="L291" s="380">
        <f>L118+L119+L99+L100+L58+L59+L172+L173</f>
        <v>320784215.36000001</v>
      </c>
    </row>
    <row r="292" spans="1:14" ht="14.25" x14ac:dyDescent="0.2">
      <c r="A292" s="373" t="s">
        <v>205</v>
      </c>
      <c r="B292" s="368">
        <f>B228</f>
        <v>0</v>
      </c>
      <c r="C292" s="368">
        <f>C228</f>
        <v>1900757.5</v>
      </c>
      <c r="D292" s="368">
        <f>D228</f>
        <v>353924</v>
      </c>
      <c r="E292" s="374">
        <f t="shared" si="46"/>
        <v>18.620155385418709</v>
      </c>
      <c r="G292" s="258"/>
      <c r="H292" s="258"/>
      <c r="I292" s="271" t="s">
        <v>35</v>
      </c>
      <c r="J292" s="382">
        <f>J215+J203+J61+J258+J259+J101+J102+J120+J174+J227+J175</f>
        <v>285557000</v>
      </c>
      <c r="K292" s="382">
        <f t="shared" ref="K292:L292" si="49">K215+K203+K61+K258+K259+K101+K102+K120+K174+K227+K175</f>
        <v>280711960.89999998</v>
      </c>
      <c r="L292" s="382">
        <f t="shared" si="49"/>
        <v>269596722.13999999</v>
      </c>
    </row>
    <row r="293" spans="1:14" ht="14.25" x14ac:dyDescent="0.2">
      <c r="A293" s="373" t="s">
        <v>225</v>
      </c>
      <c r="B293" s="368">
        <f>B247</f>
        <v>14134000</v>
      </c>
      <c r="C293" s="368">
        <f t="shared" ref="C293:D293" si="50">C247</f>
        <v>21747074.419999998</v>
      </c>
      <c r="D293" s="368">
        <f t="shared" si="50"/>
        <v>16704026.759999998</v>
      </c>
      <c r="E293" s="374">
        <f t="shared" si="46"/>
        <v>76.810454764609204</v>
      </c>
      <c r="G293" s="258"/>
      <c r="H293" s="258"/>
      <c r="I293" s="271" t="s">
        <v>220</v>
      </c>
      <c r="J293" s="382">
        <f>J103+J104</f>
        <v>10987000</v>
      </c>
      <c r="K293" s="382">
        <f>K103+K104</f>
        <v>145223309.63</v>
      </c>
      <c r="L293" s="382">
        <f>L103+L104</f>
        <v>100947067.77000001</v>
      </c>
    </row>
    <row r="294" spans="1:14" ht="14.25" x14ac:dyDescent="0.2">
      <c r="A294" s="373" t="s">
        <v>135</v>
      </c>
      <c r="B294" s="368">
        <f>B260</f>
        <v>218915000</v>
      </c>
      <c r="C294" s="368">
        <f t="shared" ref="C294:D294" si="51">C260</f>
        <v>217767267.38999999</v>
      </c>
      <c r="D294" s="368">
        <f t="shared" si="51"/>
        <v>215908670.78</v>
      </c>
      <c r="E294" s="374">
        <f t="shared" si="46"/>
        <v>99.146521590560525</v>
      </c>
      <c r="G294" s="258"/>
      <c r="H294" s="258"/>
      <c r="I294" s="271" t="s">
        <v>215</v>
      </c>
      <c r="J294" s="382">
        <f>J191+J190+J106+J105</f>
        <v>4698000</v>
      </c>
      <c r="K294" s="382">
        <f t="shared" ref="K294" si="52">K191+K190+K106+K105</f>
        <v>32058928.16</v>
      </c>
      <c r="L294" s="382">
        <f>L191+L190+L106+L105</f>
        <v>19724636.890000001</v>
      </c>
    </row>
    <row r="295" spans="1:14" ht="14.25" x14ac:dyDescent="0.2">
      <c r="A295" s="373" t="s">
        <v>235</v>
      </c>
      <c r="B295" s="368">
        <f>B270</f>
        <v>7000000</v>
      </c>
      <c r="C295" s="368">
        <f t="shared" ref="C295:D295" si="53">C270</f>
        <v>11000000</v>
      </c>
      <c r="D295" s="368">
        <f t="shared" si="53"/>
        <v>11000000</v>
      </c>
      <c r="E295" s="374">
        <f t="shared" si="46"/>
        <v>100</v>
      </c>
      <c r="G295" s="258"/>
      <c r="H295" s="258"/>
      <c r="I295" s="271" t="s">
        <v>228</v>
      </c>
      <c r="J295" s="382">
        <f>J245+J246</f>
        <v>14134000</v>
      </c>
      <c r="K295" s="382">
        <f t="shared" ref="K295" si="54">K245+K246</f>
        <v>21747074.420000002</v>
      </c>
      <c r="L295" s="382">
        <f>L245+L246</f>
        <v>16704026.76</v>
      </c>
    </row>
    <row r="296" spans="1:14" ht="14.25" x14ac:dyDescent="0.2">
      <c r="A296" s="373" t="s">
        <v>241</v>
      </c>
      <c r="B296" s="368">
        <f>B280</f>
        <v>5500000</v>
      </c>
      <c r="C296" s="368">
        <f t="shared" ref="C296:D296" si="55">C280</f>
        <v>1616148.35</v>
      </c>
      <c r="D296" s="368">
        <f t="shared" si="55"/>
        <v>0</v>
      </c>
      <c r="E296" s="374">
        <f t="shared" si="46"/>
        <v>0</v>
      </c>
      <c r="G296" s="258"/>
      <c r="H296" s="258"/>
      <c r="I296" s="271" t="s">
        <v>243</v>
      </c>
      <c r="J296" s="382">
        <f>J193+J192</f>
        <v>281000</v>
      </c>
      <c r="K296" s="382">
        <f t="shared" ref="K296" si="56">K193+K192</f>
        <v>5701004.4299999997</v>
      </c>
      <c r="L296" s="382">
        <f>L193+L192</f>
        <v>3920627.08</v>
      </c>
    </row>
    <row r="297" spans="1:14" ht="15.75" thickBot="1" x14ac:dyDescent="0.25">
      <c r="A297" s="377" t="s">
        <v>3</v>
      </c>
      <c r="B297" s="378">
        <f>SUM(B284:B296)</f>
        <v>820414000</v>
      </c>
      <c r="C297" s="378">
        <f t="shared" ref="C297:D297" si="57">SUM(C284:C296)</f>
        <v>1264396250.4299998</v>
      </c>
      <c r="D297" s="378">
        <f t="shared" si="57"/>
        <v>1134031284.6700001</v>
      </c>
      <c r="E297" s="379">
        <f t="shared" si="46"/>
        <v>89.689548215943788</v>
      </c>
      <c r="I297" s="281" t="s">
        <v>33</v>
      </c>
      <c r="J297" s="383">
        <f>J140+J62+J63</f>
        <v>28458000</v>
      </c>
      <c r="K297" s="383">
        <f t="shared" ref="K297" si="58">K140+K62+K63</f>
        <v>357763790.38</v>
      </c>
      <c r="L297" s="383">
        <f>L140+L62+L63</f>
        <v>356514786.88</v>
      </c>
    </row>
    <row r="298" spans="1:14" ht="15.75" thickTop="1" x14ac:dyDescent="0.25">
      <c r="F298" s="238"/>
      <c r="G298" s="238"/>
      <c r="H298" s="381"/>
      <c r="I298" s="245"/>
      <c r="J298" s="267">
        <f>SUM(J288:J297)</f>
        <v>820414000</v>
      </c>
      <c r="K298" s="267">
        <f>SUM(K288:K297)</f>
        <v>1264396250.4299998</v>
      </c>
      <c r="L298" s="267">
        <f>SUM(L288:L297)</f>
        <v>1134031284.6700001</v>
      </c>
    </row>
    <row r="299" spans="1:14" x14ac:dyDescent="0.2">
      <c r="F299" s="238"/>
      <c r="G299" s="238"/>
      <c r="I299" s="245"/>
      <c r="J299" s="384"/>
      <c r="K299" s="384"/>
      <c r="L299" s="384"/>
    </row>
    <row r="300" spans="1:14" x14ac:dyDescent="0.2">
      <c r="F300" s="238"/>
      <c r="G300" s="238"/>
      <c r="H300" s="305"/>
      <c r="I300" s="479" t="s">
        <v>176</v>
      </c>
      <c r="J300" s="398">
        <f>J139+J119+J100+J59+J259+J173+J102+J175</f>
        <v>470000000</v>
      </c>
      <c r="K300" s="398">
        <f>K139+K119+K100+K59+K259+K173+K102+K175</f>
        <v>376028765.38</v>
      </c>
      <c r="L300" s="398">
        <f>L139+L119+L100+L59+L259+L173+L102+L175</f>
        <v>370769060.56999999</v>
      </c>
      <c r="N300" s="541">
        <f>K300-L299:L300</f>
        <v>5259704.8100000024</v>
      </c>
    </row>
    <row r="301" spans="1:14" x14ac:dyDescent="0.2">
      <c r="A301" s="385"/>
      <c r="B301" s="386"/>
      <c r="C301" s="386"/>
      <c r="D301" s="386"/>
      <c r="E301" s="352"/>
      <c r="F301" s="238"/>
      <c r="G301" s="238"/>
      <c r="I301" s="484" t="s">
        <v>116</v>
      </c>
      <c r="J301" s="384">
        <f>J215+J203+J138+J118+J99+J61+J58+J62+J258+J101+J172+J120+J174+J227+J141+J103+J105+J245+J279+J192+J190</f>
        <v>343414000</v>
      </c>
      <c r="K301" s="384">
        <f t="shared" ref="K301:L301" si="59">K215+K203+K138+K118+K99+K61+K58+K62+K258+K101+K172+K120+K174+K227+K141+K103+K105+K245+K279+K192+K190</f>
        <v>340470801.31000006</v>
      </c>
      <c r="L301" s="384">
        <f t="shared" si="59"/>
        <v>272130364.42999995</v>
      </c>
    </row>
    <row r="302" spans="1:14" x14ac:dyDescent="0.2">
      <c r="A302" s="387"/>
      <c r="B302" s="388"/>
      <c r="C302" s="388"/>
      <c r="D302" s="388"/>
      <c r="E302" s="352"/>
      <c r="F302" s="238"/>
      <c r="G302" s="238"/>
      <c r="I302" s="485" t="s">
        <v>88</v>
      </c>
      <c r="J302" s="486">
        <f>J142+J63+J104+J106+J211+J246+J193+J191+J270</f>
        <v>7000000</v>
      </c>
      <c r="K302" s="486">
        <f t="shared" ref="K302:L302" si="60">K142+K63+K104+K106+K211+K246+K193+K191+K270</f>
        <v>547896683.74000001</v>
      </c>
      <c r="L302" s="486">
        <f t="shared" si="60"/>
        <v>491131859.67000002</v>
      </c>
    </row>
    <row r="303" spans="1:14" ht="15" x14ac:dyDescent="0.25">
      <c r="A303" s="387"/>
      <c r="B303" s="388"/>
      <c r="C303" s="388"/>
      <c r="D303" s="388"/>
      <c r="E303" s="352"/>
      <c r="F303" s="238"/>
      <c r="G303" s="238"/>
      <c r="J303" s="267">
        <f>SUM(J300:J302)</f>
        <v>820414000</v>
      </c>
      <c r="K303" s="267">
        <f>SUM(K300:K302)</f>
        <v>1264396250.4300001</v>
      </c>
      <c r="L303" s="267">
        <f>SUM(L300:L302)</f>
        <v>1134031284.6700001</v>
      </c>
    </row>
    <row r="304" spans="1:14" x14ac:dyDescent="0.2">
      <c r="A304" s="387"/>
      <c r="B304" s="388"/>
      <c r="C304" s="388"/>
      <c r="D304" s="388"/>
      <c r="E304" s="352"/>
      <c r="F304" s="242"/>
      <c r="G304" s="242"/>
      <c r="K304" s="541"/>
    </row>
    <row r="305" spans="1:12" x14ac:dyDescent="0.2">
      <c r="A305" s="389"/>
      <c r="B305" s="353"/>
      <c r="C305" s="353"/>
      <c r="D305" s="353"/>
      <c r="E305" s="352"/>
      <c r="F305" s="242"/>
      <c r="G305" s="242"/>
    </row>
    <row r="306" spans="1:12" x14ac:dyDescent="0.2">
      <c r="A306" s="389"/>
      <c r="B306" s="353"/>
      <c r="C306" s="353"/>
      <c r="D306" s="353"/>
      <c r="E306" s="352"/>
      <c r="F306" s="242"/>
      <c r="G306" s="242"/>
    </row>
    <row r="307" spans="1:12" x14ac:dyDescent="0.2">
      <c r="E307" s="242"/>
      <c r="F307" s="242"/>
      <c r="G307" s="242"/>
    </row>
    <row r="308" spans="1:12" x14ac:dyDescent="0.2">
      <c r="E308" s="242"/>
      <c r="F308" s="242"/>
      <c r="G308" s="242"/>
    </row>
    <row r="309" spans="1:12" x14ac:dyDescent="0.2">
      <c r="E309" s="242"/>
      <c r="F309" s="242"/>
      <c r="G309" s="242"/>
      <c r="J309" s="380"/>
      <c r="K309" s="380"/>
      <c r="L309" s="380"/>
    </row>
    <row r="310" spans="1:12" x14ac:dyDescent="0.2">
      <c r="E310" s="242"/>
      <c r="F310" s="242"/>
      <c r="G310" s="242"/>
      <c r="J310" s="380"/>
      <c r="K310" s="380"/>
      <c r="L310" s="380"/>
    </row>
    <row r="311" spans="1:12" s="244" customFormat="1" x14ac:dyDescent="0.2">
      <c r="A311" s="242"/>
      <c r="B311" s="242"/>
      <c r="C311" s="242"/>
      <c r="D311" s="242"/>
      <c r="E311" s="242"/>
      <c r="G311" s="245"/>
      <c r="H311" s="245"/>
      <c r="I311" s="242"/>
      <c r="J311" s="242"/>
      <c r="K311" s="242"/>
      <c r="L311" s="380"/>
    </row>
    <row r="312" spans="1:12" s="244" customFormat="1" x14ac:dyDescent="0.2">
      <c r="A312" s="242"/>
      <c r="B312" s="242"/>
      <c r="C312" s="242"/>
      <c r="D312" s="242"/>
      <c r="E312" s="242"/>
      <c r="G312" s="245"/>
      <c r="H312" s="245"/>
      <c r="I312" s="242"/>
      <c r="J312" s="242"/>
      <c r="K312" s="242"/>
      <c r="L312" s="242"/>
    </row>
    <row r="313" spans="1:12" s="244" customFormat="1" x14ac:dyDescent="0.2">
      <c r="A313" s="242"/>
      <c r="B313" s="242"/>
      <c r="C313" s="242"/>
      <c r="D313" s="242"/>
      <c r="E313" s="242"/>
      <c r="G313" s="245"/>
      <c r="H313" s="245"/>
      <c r="I313" s="242"/>
      <c r="J313" s="242"/>
      <c r="K313" s="242"/>
      <c r="L313" s="242"/>
    </row>
  </sheetData>
  <mergeCells count="33">
    <mergeCell ref="A237:A238"/>
    <mergeCell ref="A254:A255"/>
    <mergeCell ref="A95:A96"/>
    <mergeCell ref="A115:A116"/>
    <mergeCell ref="A139:A140"/>
    <mergeCell ref="A133:A134"/>
    <mergeCell ref="A129:A130"/>
    <mergeCell ref="A131:A132"/>
    <mergeCell ref="A97:A98"/>
    <mergeCell ref="A152:A153"/>
    <mergeCell ref="A156:A157"/>
    <mergeCell ref="A166:A167"/>
    <mergeCell ref="A99:A100"/>
    <mergeCell ref="A172:A173"/>
    <mergeCell ref="A101:A102"/>
    <mergeCell ref="A9:A10"/>
    <mergeCell ref="A17:A18"/>
    <mergeCell ref="A80:A81"/>
    <mergeCell ref="A89:A90"/>
    <mergeCell ref="A78:A79"/>
    <mergeCell ref="A13:A14"/>
    <mergeCell ref="A22:A23"/>
    <mergeCell ref="A73:A74"/>
    <mergeCell ref="A15:A16"/>
    <mergeCell ref="A20:A21"/>
    <mergeCell ref="A158:A159"/>
    <mergeCell ref="A103:A104"/>
    <mergeCell ref="A161:A162"/>
    <mergeCell ref="A188:A189"/>
    <mergeCell ref="A190:A191"/>
    <mergeCell ref="A183:A184"/>
    <mergeCell ref="A185:A186"/>
    <mergeCell ref="A170:A171"/>
  </mergeCells>
  <pageMargins left="0.78740157480314965" right="0.78740157480314965" top="0.98425196850393704" bottom="0.98425196850393704" header="0.51181102362204722" footer="0.51181102362204722"/>
  <pageSetup paperSize="9" scale="50" firstPageNumber="180" fitToHeight="5" orientation="portrait" useFirstPageNumber="1" r:id="rId1"/>
  <headerFooter alignWithMargins="0"/>
  <rowBreaks count="4" manualBreakCount="4">
    <brk id="65" max="4" man="1"/>
    <brk id="144" max="4" man="1"/>
    <brk id="230" max="4" man="1"/>
    <brk id="302" max="4" man="1"/>
  </rowBreaks>
  <ignoredErrors>
    <ignoredError sqref="F77" numberStoredAsText="1"/>
    <ignoredError sqref="E140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K42"/>
  <sheetViews>
    <sheetView showGridLines="0" view="pageBreakPreview" zoomScaleNormal="100" zoomScaleSheetLayoutView="100" workbookViewId="0">
      <selection activeCell="I25" sqref="I25"/>
    </sheetView>
  </sheetViews>
  <sheetFormatPr defaultColWidth="9.140625" defaultRowHeight="12.75" x14ac:dyDescent="0.2"/>
  <cols>
    <col min="1" max="1" width="77.7109375" style="5" customWidth="1"/>
    <col min="2" max="2" width="17.140625" style="5" customWidth="1"/>
    <col min="3" max="3" width="17.28515625" style="5" customWidth="1"/>
    <col min="4" max="4" width="17.28515625" style="5" bestFit="1" customWidth="1"/>
    <col min="5" max="5" width="7.5703125" style="37" customWidth="1"/>
    <col min="6" max="6" width="15.28515625" style="89" customWidth="1"/>
    <col min="7" max="7" width="19.140625" style="38" customWidth="1"/>
    <col min="8" max="8" width="9.85546875" style="38" customWidth="1"/>
    <col min="9" max="9" width="17.7109375" style="5" customWidth="1"/>
    <col min="10" max="10" width="18.28515625" style="5" customWidth="1"/>
    <col min="11" max="11" width="18.7109375" style="5" customWidth="1"/>
    <col min="12" max="12" width="17.5703125" style="5" customWidth="1"/>
    <col min="13" max="16384" width="9.140625" style="5"/>
  </cols>
  <sheetData>
    <row r="1" spans="1:8" s="32" customFormat="1" ht="18" x14ac:dyDescent="0.25">
      <c r="A1" s="29" t="s">
        <v>201</v>
      </c>
      <c r="B1" s="29"/>
      <c r="C1" s="29"/>
      <c r="D1" s="29"/>
      <c r="E1" s="29"/>
      <c r="F1" s="88"/>
      <c r="G1" s="30"/>
      <c r="H1" s="31"/>
    </row>
    <row r="2" spans="1:8" s="35" customFormat="1" ht="15.75" x14ac:dyDescent="0.25">
      <c r="A2" s="33" t="s">
        <v>68</v>
      </c>
      <c r="B2" s="34"/>
      <c r="C2" s="34"/>
      <c r="D2" s="34"/>
      <c r="E2" s="34"/>
      <c r="F2" s="88"/>
      <c r="G2" s="30"/>
      <c r="H2" s="31"/>
    </row>
    <row r="3" spans="1:8" ht="12" customHeight="1" x14ac:dyDescent="0.2"/>
    <row r="4" spans="1:8" ht="15" customHeight="1" x14ac:dyDescent="0.25">
      <c r="A4" s="36" t="s">
        <v>95</v>
      </c>
    </row>
    <row r="5" spans="1:8" ht="15" customHeight="1" thickBot="1" x14ac:dyDescent="0.3">
      <c r="A5" s="39" t="s">
        <v>92</v>
      </c>
      <c r="E5" s="40" t="s">
        <v>18</v>
      </c>
    </row>
    <row r="6" spans="1:8" ht="14.25" thickTop="1" thickBot="1" x14ac:dyDescent="0.25">
      <c r="A6" s="41" t="s">
        <v>5</v>
      </c>
      <c r="B6" s="42" t="s">
        <v>0</v>
      </c>
      <c r="C6" s="43" t="s">
        <v>1</v>
      </c>
      <c r="D6" s="44" t="s">
        <v>4</v>
      </c>
      <c r="E6" s="45" t="s">
        <v>6</v>
      </c>
    </row>
    <row r="7" spans="1:8" s="242" customFormat="1" ht="15.75" thickTop="1" x14ac:dyDescent="0.2">
      <c r="A7" s="603" t="s">
        <v>31</v>
      </c>
      <c r="B7" s="604">
        <f>SUM(B8:B18)</f>
        <v>29407000</v>
      </c>
      <c r="C7" s="604">
        <f>SUM(C8:C18)</f>
        <v>33528779.379999999</v>
      </c>
      <c r="D7" s="604">
        <f>SUM(D8:D18)</f>
        <v>24359823.779999994</v>
      </c>
      <c r="E7" s="605">
        <f>D7/C7*100</f>
        <v>72.65347629842644</v>
      </c>
      <c r="F7" s="606"/>
      <c r="G7" s="245"/>
      <c r="H7" s="245"/>
    </row>
    <row r="8" spans="1:8" s="242" customFormat="1" x14ac:dyDescent="0.2">
      <c r="A8" s="607" t="s">
        <v>158</v>
      </c>
      <c r="B8" s="608">
        <v>1212000</v>
      </c>
      <c r="C8" s="609">
        <v>3514000</v>
      </c>
      <c r="D8" s="609">
        <v>3514000</v>
      </c>
      <c r="E8" s="610">
        <f t="shared" ref="E8:E18" si="0">D8/C8*100</f>
        <v>100</v>
      </c>
      <c r="F8" s="611">
        <v>101486</v>
      </c>
      <c r="G8" s="265" t="s">
        <v>362</v>
      </c>
      <c r="H8" s="245"/>
    </row>
    <row r="9" spans="1:8" s="242" customFormat="1" ht="15" x14ac:dyDescent="0.2">
      <c r="A9" s="612"/>
      <c r="B9" s="608">
        <v>4193000</v>
      </c>
      <c r="C9" s="609">
        <f>3662501.38+1884224</f>
        <v>5546725.3799999999</v>
      </c>
      <c r="D9" s="609">
        <v>2744783.23</v>
      </c>
      <c r="E9" s="610">
        <f t="shared" si="0"/>
        <v>49.484750766586536</v>
      </c>
      <c r="F9" s="611">
        <v>101487</v>
      </c>
      <c r="G9" s="265" t="s">
        <v>362</v>
      </c>
      <c r="H9" s="245"/>
    </row>
    <row r="10" spans="1:8" s="242" customFormat="1" ht="15" x14ac:dyDescent="0.2">
      <c r="A10" s="612"/>
      <c r="B10" s="608">
        <v>1929000</v>
      </c>
      <c r="C10" s="609">
        <v>1929000</v>
      </c>
      <c r="D10" s="609">
        <v>1549471.47</v>
      </c>
      <c r="E10" s="610">
        <f t="shared" si="0"/>
        <v>80.325115085536552</v>
      </c>
      <c r="F10" s="611">
        <v>101490</v>
      </c>
      <c r="G10" s="265" t="s">
        <v>362</v>
      </c>
      <c r="H10" s="245"/>
    </row>
    <row r="11" spans="1:8" s="242" customFormat="1" ht="15" x14ac:dyDescent="0.2">
      <c r="A11" s="612"/>
      <c r="B11" s="608">
        <v>2800000</v>
      </c>
      <c r="C11" s="609">
        <v>2405000</v>
      </c>
      <c r="D11" s="609">
        <v>2154173.08</v>
      </c>
      <c r="E11" s="610">
        <f t="shared" si="0"/>
        <v>89.570606237006245</v>
      </c>
      <c r="F11" s="611">
        <v>101567</v>
      </c>
      <c r="G11" s="265" t="s">
        <v>363</v>
      </c>
      <c r="H11" s="245"/>
    </row>
    <row r="12" spans="1:8" s="242" customFormat="1" ht="15" x14ac:dyDescent="0.2">
      <c r="A12" s="612"/>
      <c r="B12" s="608">
        <v>1400000</v>
      </c>
      <c r="C12" s="609">
        <v>4895000</v>
      </c>
      <c r="D12" s="609">
        <v>4850105</v>
      </c>
      <c r="E12" s="610">
        <f t="shared" si="0"/>
        <v>99.082839632277825</v>
      </c>
      <c r="F12" s="611">
        <v>101568</v>
      </c>
      <c r="G12" s="265" t="s">
        <v>363</v>
      </c>
      <c r="H12" s="245"/>
    </row>
    <row r="13" spans="1:8" s="242" customFormat="1" ht="15" x14ac:dyDescent="0.2">
      <c r="A13" s="612"/>
      <c r="B13" s="608">
        <v>4215000</v>
      </c>
      <c r="C13" s="609">
        <v>4215000</v>
      </c>
      <c r="D13" s="609">
        <v>1431627.77</v>
      </c>
      <c r="E13" s="610">
        <f t="shared" si="0"/>
        <v>33.965071648873071</v>
      </c>
      <c r="F13" s="611">
        <v>101569</v>
      </c>
      <c r="G13" s="265" t="s">
        <v>363</v>
      </c>
      <c r="H13" s="245"/>
    </row>
    <row r="14" spans="1:8" s="242" customFormat="1" ht="15" x14ac:dyDescent="0.2">
      <c r="A14" s="612"/>
      <c r="B14" s="608">
        <v>3360000</v>
      </c>
      <c r="C14" s="609">
        <v>1982649.68</v>
      </c>
      <c r="D14" s="609">
        <v>1370343.17</v>
      </c>
      <c r="E14" s="610">
        <f t="shared" si="0"/>
        <v>69.116757429381067</v>
      </c>
      <c r="F14" s="611">
        <v>101570</v>
      </c>
      <c r="G14" s="265" t="s">
        <v>363</v>
      </c>
      <c r="H14" s="245"/>
    </row>
    <row r="15" spans="1:8" s="242" customFormat="1" ht="15" x14ac:dyDescent="0.2">
      <c r="A15" s="612"/>
      <c r="B15" s="608">
        <v>2005000</v>
      </c>
      <c r="C15" s="609">
        <v>2005000</v>
      </c>
      <c r="D15" s="609">
        <v>1722281.08</v>
      </c>
      <c r="E15" s="610">
        <f t="shared" si="0"/>
        <v>85.899305735660846</v>
      </c>
      <c r="F15" s="611">
        <v>101571</v>
      </c>
      <c r="G15" s="265" t="s">
        <v>363</v>
      </c>
      <c r="H15" s="245"/>
    </row>
    <row r="16" spans="1:8" s="242" customFormat="1" ht="15" x14ac:dyDescent="0.2">
      <c r="A16" s="612"/>
      <c r="B16" s="608">
        <v>4022000</v>
      </c>
      <c r="C16" s="609">
        <v>4022000</v>
      </c>
      <c r="D16" s="609">
        <v>3264800.58</v>
      </c>
      <c r="E16" s="610">
        <f t="shared" si="0"/>
        <v>81.173559920437597</v>
      </c>
      <c r="F16" s="611">
        <v>101572</v>
      </c>
      <c r="G16" s="265" t="s">
        <v>363</v>
      </c>
      <c r="H16" s="245"/>
    </row>
    <row r="17" spans="1:11" s="242" customFormat="1" ht="15" x14ac:dyDescent="0.2">
      <c r="A17" s="612"/>
      <c r="B17" s="608">
        <v>2334000</v>
      </c>
      <c r="C17" s="609">
        <v>1611350.32</v>
      </c>
      <c r="D17" s="609">
        <v>1016120.43</v>
      </c>
      <c r="E17" s="610">
        <f t="shared" si="0"/>
        <v>63.060181103262515</v>
      </c>
      <c r="F17" s="611">
        <v>101573</v>
      </c>
      <c r="G17" s="265" t="s">
        <v>363</v>
      </c>
      <c r="H17" s="245"/>
    </row>
    <row r="18" spans="1:11" s="242" customFormat="1" ht="15.75" thickBot="1" x14ac:dyDescent="0.25">
      <c r="A18" s="613"/>
      <c r="B18" s="614">
        <v>1937000</v>
      </c>
      <c r="C18" s="615">
        <v>1403054</v>
      </c>
      <c r="D18" s="615">
        <v>742117.97</v>
      </c>
      <c r="E18" s="616">
        <f t="shared" si="0"/>
        <v>52.893044031092174</v>
      </c>
      <c r="F18" s="611">
        <v>101574</v>
      </c>
      <c r="G18" s="265" t="s">
        <v>363</v>
      </c>
      <c r="H18" s="245"/>
    </row>
    <row r="19" spans="1:11" ht="13.5" thickTop="1" x14ac:dyDescent="0.2"/>
    <row r="20" spans="1:11" s="7" customFormat="1" x14ac:dyDescent="0.2">
      <c r="E20" s="50"/>
      <c r="F20" s="80"/>
      <c r="G20" s="54"/>
      <c r="H20" s="54"/>
    </row>
    <row r="21" spans="1:11" ht="18.75" thickBot="1" x14ac:dyDescent="0.25">
      <c r="A21" s="291" t="s">
        <v>23</v>
      </c>
      <c r="B21" s="392">
        <f>B7</f>
        <v>29407000</v>
      </c>
      <c r="C21" s="392">
        <f t="shared" ref="C21:D21" si="1">C7</f>
        <v>33528779.379999999</v>
      </c>
      <c r="D21" s="392">
        <f t="shared" si="1"/>
        <v>24359823.779999994</v>
      </c>
      <c r="E21" s="293">
        <f>D21/C21*100</f>
        <v>72.65347629842644</v>
      </c>
      <c r="F21" s="552"/>
      <c r="G21" s="54"/>
    </row>
    <row r="22" spans="1:11" ht="13.5" thickTop="1" x14ac:dyDescent="0.2">
      <c r="B22" s="4"/>
      <c r="F22" s="97"/>
      <c r="G22" s="54"/>
    </row>
    <row r="23" spans="1:11" x14ac:dyDescent="0.2">
      <c r="B23" s="4"/>
      <c r="F23" s="97"/>
      <c r="G23" s="54"/>
    </row>
    <row r="24" spans="1:11" ht="14.25" x14ac:dyDescent="0.2">
      <c r="A24" s="68" t="s">
        <v>12</v>
      </c>
      <c r="B24" s="68"/>
      <c r="C24" s="68"/>
      <c r="D24" s="68"/>
      <c r="E24" s="69"/>
      <c r="F24" s="98"/>
      <c r="G24" s="54"/>
      <c r="H24" s="112" t="s">
        <v>32</v>
      </c>
      <c r="I24" s="617">
        <f>SUM(B11:B18)</f>
        <v>22073000</v>
      </c>
      <c r="J24" s="617">
        <f t="shared" ref="J24:K24" si="2">SUM(C11:C18)</f>
        <v>22539054</v>
      </c>
      <c r="K24" s="617">
        <f t="shared" si="2"/>
        <v>16551569.08</v>
      </c>
    </row>
    <row r="25" spans="1:11" ht="14.25" x14ac:dyDescent="0.2">
      <c r="A25" s="70" t="s">
        <v>14</v>
      </c>
      <c r="B25" s="71">
        <f>B21</f>
        <v>29407000</v>
      </c>
      <c r="C25" s="71">
        <f t="shared" ref="C25:D25" si="3">C21</f>
        <v>33528779.379999999</v>
      </c>
      <c r="D25" s="71">
        <f t="shared" si="3"/>
        <v>24359823.779999994</v>
      </c>
      <c r="E25" s="72">
        <f t="shared" ref="E25" si="4">D25/C25*100</f>
        <v>72.65347629842644</v>
      </c>
      <c r="F25" s="99"/>
      <c r="G25" s="54"/>
      <c r="H25" s="141" t="s">
        <v>38</v>
      </c>
      <c r="I25" s="380">
        <f>SUM(B8:B10)</f>
        <v>7334000</v>
      </c>
      <c r="J25" s="380">
        <f t="shared" ref="J25:K25" si="5">SUM(C8:C10)</f>
        <v>10989725.379999999</v>
      </c>
      <c r="K25" s="380">
        <f t="shared" si="5"/>
        <v>7808254.7000000002</v>
      </c>
    </row>
    <row r="26" spans="1:11" ht="16.5" thickBot="1" x14ac:dyDescent="0.3">
      <c r="A26" s="73" t="s">
        <v>3</v>
      </c>
      <c r="B26" s="74">
        <f>SUM(B25:B25)</f>
        <v>29407000</v>
      </c>
      <c r="C26" s="74">
        <f>SUM(C25:C25)</f>
        <v>33528779.379999999</v>
      </c>
      <c r="D26" s="74">
        <f>SUM(D25:D25)</f>
        <v>24359823.779999994</v>
      </c>
      <c r="E26" s="75">
        <f>D26/C26*100</f>
        <v>72.65347629842644</v>
      </c>
      <c r="H26" s="142"/>
      <c r="I26" s="120">
        <f>SUM(I24:I25)</f>
        <v>29407000</v>
      </c>
      <c r="J26" s="120">
        <f>SUM(J24:J25)</f>
        <v>33528779.379999999</v>
      </c>
      <c r="K26" s="120">
        <f>SUM(K24:K25)</f>
        <v>24359823.780000001</v>
      </c>
    </row>
    <row r="27" spans="1:11" ht="13.5" thickTop="1" x14ac:dyDescent="0.2">
      <c r="F27" s="1"/>
      <c r="G27" s="1"/>
      <c r="I27" s="163"/>
      <c r="J27" s="163"/>
      <c r="K27" s="163"/>
    </row>
    <row r="28" spans="1:11" x14ac:dyDescent="0.2">
      <c r="B28" s="510" t="s">
        <v>131</v>
      </c>
      <c r="F28" s="1"/>
      <c r="G28" s="1"/>
      <c r="I28" s="163"/>
      <c r="J28" s="163"/>
      <c r="K28" s="163"/>
    </row>
    <row r="29" spans="1:11" x14ac:dyDescent="0.2">
      <c r="B29" s="181">
        <f>B7</f>
        <v>29407000</v>
      </c>
      <c r="F29" s="1"/>
      <c r="G29" s="1"/>
      <c r="H29" s="105"/>
      <c r="I29" s="163"/>
      <c r="J29" s="163"/>
      <c r="K29" s="163"/>
    </row>
    <row r="30" spans="1:11" x14ac:dyDescent="0.2">
      <c r="A30" s="119"/>
      <c r="B30" s="164">
        <f>B21-B29</f>
        <v>0</v>
      </c>
      <c r="C30" s="164"/>
      <c r="D30" s="164"/>
      <c r="E30" s="2"/>
      <c r="F30" s="1"/>
      <c r="G30" s="1"/>
      <c r="I30" s="4"/>
      <c r="J30" s="4"/>
      <c r="K30" s="4"/>
    </row>
    <row r="31" spans="1:11" x14ac:dyDescent="0.2">
      <c r="A31" s="165"/>
      <c r="B31" s="166"/>
      <c r="C31" s="166"/>
      <c r="D31" s="166"/>
      <c r="E31" s="2"/>
      <c r="F31" s="1"/>
      <c r="G31" s="1"/>
    </row>
    <row r="32" spans="1:11" x14ac:dyDescent="0.2">
      <c r="A32" s="165"/>
      <c r="B32" s="166"/>
      <c r="C32" s="166"/>
      <c r="D32" s="166"/>
      <c r="E32" s="2"/>
      <c r="F32" s="1"/>
      <c r="G32" s="1"/>
    </row>
    <row r="33" spans="1:11" x14ac:dyDescent="0.2">
      <c r="A33" s="165"/>
      <c r="B33" s="166"/>
      <c r="C33" s="166"/>
      <c r="D33" s="166"/>
      <c r="E33" s="2"/>
      <c r="F33" s="5"/>
      <c r="G33" s="5"/>
    </row>
    <row r="34" spans="1:11" x14ac:dyDescent="0.2">
      <c r="A34" s="118"/>
      <c r="B34" s="104"/>
      <c r="C34" s="104"/>
      <c r="D34" s="104"/>
      <c r="E34" s="2"/>
      <c r="F34" s="5"/>
      <c r="G34" s="5"/>
    </row>
    <row r="35" spans="1:11" x14ac:dyDescent="0.2">
      <c r="A35" s="118"/>
      <c r="B35" s="104"/>
      <c r="C35" s="104"/>
      <c r="D35" s="104"/>
      <c r="E35" s="2"/>
      <c r="F35" s="5"/>
      <c r="G35" s="5"/>
    </row>
    <row r="36" spans="1:11" x14ac:dyDescent="0.2">
      <c r="E36" s="5"/>
      <c r="F36" s="5"/>
      <c r="G36" s="5"/>
    </row>
    <row r="37" spans="1:11" x14ac:dyDescent="0.2">
      <c r="E37" s="5"/>
      <c r="F37" s="5"/>
      <c r="G37" s="5"/>
      <c r="K37" s="4"/>
    </row>
    <row r="38" spans="1:11" x14ac:dyDescent="0.2">
      <c r="E38" s="5"/>
      <c r="F38" s="5"/>
      <c r="G38" s="5"/>
    </row>
    <row r="39" spans="1:11" x14ac:dyDescent="0.2">
      <c r="E39" s="5"/>
      <c r="F39" s="5"/>
      <c r="G39" s="5"/>
    </row>
    <row r="40" spans="1:11" x14ac:dyDescent="0.2">
      <c r="E40" s="5"/>
    </row>
    <row r="41" spans="1:11" x14ac:dyDescent="0.2">
      <c r="E41" s="5"/>
    </row>
    <row r="42" spans="1:11" x14ac:dyDescent="0.2">
      <c r="E42" s="5"/>
    </row>
  </sheetData>
  <pageMargins left="0.78740157480314965" right="0.78740157480314965" top="0.98425196850393704" bottom="0.98425196850393704" header="0.51181102362204722" footer="0.51181102362204722"/>
  <pageSetup paperSize="9" scale="63" firstPageNumber="183" fitToHeight="5" orientation="portrait" useFirstPageNumber="1" r:id="rId1"/>
  <headerFooter alignWithMargins="0"/>
  <rowBreaks count="1" manualBreakCount="1">
    <brk id="3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Rekapitulace</vt:lpstr>
      <vt:lpstr>rekapitulace PO</vt:lpstr>
      <vt:lpstr>8a) OK 2023</vt:lpstr>
      <vt:lpstr>8b) Projekty spolufinancované</vt:lpstr>
      <vt:lpstr>8c) SMN</vt:lpstr>
      <vt:lpstr>'8a) OK 2023'!Oblast_tisku</vt:lpstr>
      <vt:lpstr>'8b) Projekty spolufinancované'!Oblast_tisku</vt:lpstr>
      <vt:lpstr>'8c) SMN'!Oblast_tisku</vt:lpstr>
      <vt:lpstr>Rekapitulace!Oblast_tisku</vt:lpstr>
      <vt:lpstr>'rekapitulace PO'!Oblast_tisku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benesova</dc:creator>
  <cp:lastModifiedBy>Vítková Petra</cp:lastModifiedBy>
  <cp:lastPrinted>2024-05-21T07:46:02Z</cp:lastPrinted>
  <dcterms:created xsi:type="dcterms:W3CDTF">2010-08-09T11:30:13Z</dcterms:created>
  <dcterms:modified xsi:type="dcterms:W3CDTF">2024-05-27T12:35:29Z</dcterms:modified>
</cp:coreProperties>
</file>