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11270ABB-0D32-4E67-8469-A4B25E245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ehled úvěrů" sheetId="1" r:id="rId1"/>
  </sheets>
  <definedNames>
    <definedName name="_xlnm.Print_Area" localSheetId="0">'Přehled úvěrů'!$A$1:$E$116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48" i="1"/>
  <c r="D82" i="1"/>
  <c r="D69" i="1"/>
  <c r="D92" i="1"/>
  <c r="D114" i="1"/>
  <c r="B91" i="1"/>
  <c r="D113" i="1" l="1"/>
  <c r="D112" i="1"/>
  <c r="D111" i="1"/>
  <c r="C47" i="1" l="1"/>
  <c r="C24" i="1"/>
  <c r="C114" i="1" l="1"/>
  <c r="B114" i="1"/>
  <c r="B113" i="1"/>
  <c r="B112" i="1"/>
  <c r="B92" i="1"/>
  <c r="B82" i="1"/>
  <c r="B48" i="1"/>
  <c r="B25" i="1"/>
  <c r="D110" i="1" l="1"/>
  <c r="D109" i="1"/>
  <c r="D108" i="1"/>
  <c r="D107" i="1"/>
  <c r="D106" i="1"/>
  <c r="D105" i="1"/>
  <c r="D104" i="1"/>
  <c r="D103" i="1"/>
  <c r="D102" i="1"/>
  <c r="D100" i="1"/>
  <c r="D99" i="1"/>
  <c r="D98" i="1"/>
  <c r="D97" i="1"/>
  <c r="C67" i="1" l="1"/>
  <c r="C46" i="1"/>
  <c r="C23" i="1"/>
  <c r="C113" i="1" s="1"/>
  <c r="C79" i="1"/>
  <c r="C45" i="1"/>
  <c r="C44" i="1"/>
  <c r="C43" i="1"/>
  <c r="D55" i="1" l="1"/>
  <c r="D101" i="1" l="1"/>
  <c r="D116" i="1"/>
  <c r="C89" i="1"/>
  <c r="C92" i="1" s="1"/>
  <c r="E92" i="1" s="1"/>
  <c r="C66" i="1" l="1"/>
  <c r="E89" i="1" l="1"/>
  <c r="E90" i="1" s="1"/>
  <c r="E91" i="1" s="1"/>
  <c r="F92" i="1" l="1"/>
  <c r="C78" i="1" l="1"/>
  <c r="C82" i="1" s="1"/>
  <c r="E82" i="1" s="1"/>
  <c r="C65" i="1"/>
  <c r="B97" i="1" l="1"/>
  <c r="C64" i="1" l="1"/>
  <c r="C20" i="1"/>
  <c r="C21" i="1" l="1"/>
  <c r="C107" i="1"/>
  <c r="C105" i="1"/>
  <c r="B106" i="1"/>
  <c r="B105" i="1"/>
  <c r="B104" i="1"/>
  <c r="E76" i="1"/>
  <c r="E77" i="1" s="1"/>
  <c r="E78" i="1" s="1"/>
  <c r="E79" i="1" s="1"/>
  <c r="E80" i="1" s="1"/>
  <c r="E81" i="1" s="1"/>
  <c r="C41" i="1" l="1"/>
  <c r="C18" i="1"/>
  <c r="F82" i="1"/>
  <c r="C103" i="1"/>
  <c r="C101" i="1"/>
  <c r="C100" i="1"/>
  <c r="C99" i="1"/>
  <c r="B98" i="1"/>
  <c r="B99" i="1"/>
  <c r="B100" i="1"/>
  <c r="B101" i="1"/>
  <c r="B103" i="1"/>
  <c r="C98" i="1"/>
  <c r="C97" i="1"/>
  <c r="C96" i="1"/>
  <c r="B96" i="1"/>
  <c r="C60" i="1"/>
  <c r="C58" i="1"/>
  <c r="B56" i="1"/>
  <c r="B69" i="1" s="1"/>
  <c r="B116" i="1" s="1"/>
  <c r="E55" i="1"/>
  <c r="C39" i="1"/>
  <c r="C48" i="1" s="1"/>
  <c r="E32" i="1"/>
  <c r="E33" i="1" s="1"/>
  <c r="E34" i="1" s="1"/>
  <c r="E35" i="1" s="1"/>
  <c r="E36" i="1" s="1"/>
  <c r="E37" i="1" s="1"/>
  <c r="E38" i="1" s="1"/>
  <c r="C16" i="1"/>
  <c r="C106" i="1" s="1"/>
  <c r="C12" i="1"/>
  <c r="C25" i="1" s="1"/>
  <c r="E7" i="1"/>
  <c r="E97" i="1" s="1"/>
  <c r="C69" i="1" l="1"/>
  <c r="C116" i="1"/>
  <c r="E25" i="1"/>
  <c r="E69" i="1"/>
  <c r="F69" i="1"/>
  <c r="C102" i="1"/>
  <c r="F48" i="1"/>
  <c r="C104" i="1"/>
  <c r="E8" i="1"/>
  <c r="E9" i="1" s="1"/>
  <c r="E10" i="1" s="1"/>
  <c r="E39" i="1"/>
  <c r="E40" i="1" s="1"/>
  <c r="E41" i="1" s="1"/>
  <c r="E42" i="1" s="1"/>
  <c r="E56" i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96" i="1"/>
  <c r="B102" i="1"/>
  <c r="E48" i="1" l="1"/>
  <c r="E116" i="1" s="1"/>
  <c r="E43" i="1"/>
  <c r="F25" i="1"/>
  <c r="E99" i="1"/>
  <c r="E98" i="1"/>
  <c r="E11" i="1"/>
  <c r="E100" i="1"/>
  <c r="F32" i="1" l="1"/>
  <c r="E44" i="1"/>
  <c r="E101" i="1"/>
  <c r="E12" i="1"/>
  <c r="E45" i="1" l="1"/>
  <c r="E46" i="1" s="1"/>
  <c r="E47" i="1" s="1"/>
  <c r="E102" i="1"/>
  <c r="E13" i="1"/>
  <c r="E14" i="1" l="1"/>
  <c r="E104" i="1" s="1"/>
  <c r="E103" i="1"/>
  <c r="E15" i="1" l="1"/>
  <c r="E105" i="1" s="1"/>
  <c r="E16" i="1" l="1"/>
  <c r="E106" i="1" s="1"/>
  <c r="E17" i="1" l="1"/>
  <c r="E18" i="1" l="1"/>
  <c r="E19" i="1" l="1"/>
  <c r="E20" i="1" l="1"/>
  <c r="E21" i="1"/>
  <c r="E22" i="1" l="1"/>
  <c r="E112" i="1" s="1"/>
  <c r="E23" i="1" l="1"/>
  <c r="E113" i="1" s="1"/>
  <c r="E24" i="1" l="1"/>
  <c r="E114" i="1" s="1"/>
</calcChain>
</file>

<file path=xl/sharedStrings.xml><?xml version="1.0" encoding="utf-8"?>
<sst xmlns="http://schemas.openxmlformats.org/spreadsheetml/2006/main" count="64" uniqueCount="24">
  <si>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</si>
  <si>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</si>
  <si>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</si>
  <si>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</si>
  <si>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</si>
  <si>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</si>
  <si>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</si>
  <si>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</si>
  <si>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</si>
  <si>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</si>
  <si>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</si>
  <si>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</si>
  <si>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</si>
  <si>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</si>
  <si>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</si>
  <si>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</si>
  <si>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</si>
  <si>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</si>
  <si>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Celkem</t>
  </si>
  <si>
    <t>Schváleno usnesením Zastupitelstva Olomouckého kraje UZ/2/8/2020 ze dne 21.12.2020</t>
  </si>
  <si>
    <t>zaplacené úroky</t>
  </si>
  <si>
    <t>zaplacené úroky/úrokové výdaje</t>
  </si>
  <si>
    <t>Stav k 31. 12. 2023</t>
  </si>
  <si>
    <t>4. Přehled aktivních úvěrů a půjček Olomouckého kraje v roce 2023 se zůstatkem ke splácení k 31. 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</si>
</sst>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right"/>
    </xf>
    <xf numFmtId="0" fontId="7" fillId="0" borderId="17" xfId="0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right"/>
    </xf>
    <xf numFmtId="4" fontId="8" fillId="0" borderId="19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showGridLines="0" tabSelected="1"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29.7109375" style="9" customWidth="1"/>
    <col min="2" max="2" width="23.7109375" style="9" customWidth="1"/>
    <col min="3" max="3" width="23.140625" style="9" customWidth="1"/>
    <col min="4" max="4" width="24" style="9" hidden="1" customWidth="1"/>
    <col min="5" max="5" width="29.140625" style="9" customWidth="1"/>
    <col min="6" max="6" width="33.5703125" style="9" customWidth="1"/>
    <col min="7" max="7" width="22.28515625" style="6" customWidth="1"/>
    <col min="8" max="8" width="16" style="7" customWidth="1"/>
    <col min="9" max="9" width="16" style="8" customWidth="1"/>
    <col min="10" max="10" width="6.140625" style="7" customWidth="1"/>
    <col min="11" max="11" width="11.28515625" style="7" customWidth="1"/>
    <col min="12" max="16384" width="9.140625" style="7"/>
  </cols>
  <sheetData>
    <row r="1" spans="1:6" ht="42.75" customHeight="1" x14ac:dyDescent="0.25">
      <c r="A1" s="68" t="s">
        <v>23</v>
      </c>
      <c r="B1" s="68"/>
      <c r="C1" s="68"/>
      <c r="D1" s="68"/>
      <c r="E1" s="68"/>
      <c r="F1" s="5"/>
    </row>
    <row r="3" spans="1:6" ht="15.75" x14ac:dyDescent="0.25">
      <c r="A3" s="2" t="s">
        <v>12</v>
      </c>
      <c r="C3" s="10" t="s">
        <v>5</v>
      </c>
      <c r="D3" s="10"/>
      <c r="E3" s="4">
        <v>900000000</v>
      </c>
    </row>
    <row r="4" spans="1:6" ht="15" x14ac:dyDescent="0.2">
      <c r="A4" s="11" t="s">
        <v>7</v>
      </c>
      <c r="B4" s="12"/>
    </row>
    <row r="5" spans="1:6" ht="13.5" thickBot="1" x14ac:dyDescent="0.25">
      <c r="A5" s="1" t="s">
        <v>10</v>
      </c>
      <c r="E5" s="13" t="s">
        <v>9</v>
      </c>
    </row>
    <row r="6" spans="1:6" ht="16.5" thickTop="1" thickBot="1" x14ac:dyDescent="0.25">
      <c r="A6" s="14" t="s">
        <v>0</v>
      </c>
      <c r="B6" s="15" t="s">
        <v>1</v>
      </c>
      <c r="C6" s="16" t="s">
        <v>2</v>
      </c>
      <c r="D6" s="62" t="s">
        <v>20</v>
      </c>
      <c r="E6" s="17" t="s">
        <v>3</v>
      </c>
    </row>
    <row r="7" spans="1:6" ht="15" thickTop="1" x14ac:dyDescent="0.2">
      <c r="A7" s="18">
        <v>2006</v>
      </c>
      <c r="B7" s="19">
        <v>289000000</v>
      </c>
      <c r="C7" s="20">
        <v>0</v>
      </c>
      <c r="D7" s="63">
        <v>3209947.08</v>
      </c>
      <c r="E7" s="21">
        <f>+B7-C7</f>
        <v>289000000</v>
      </c>
    </row>
    <row r="8" spans="1:6" ht="14.25" x14ac:dyDescent="0.2">
      <c r="A8" s="18">
        <v>2007</v>
      </c>
      <c r="B8" s="19">
        <v>379500000</v>
      </c>
      <c r="C8" s="20">
        <v>0</v>
      </c>
      <c r="D8" s="63">
        <v>15657249.59</v>
      </c>
      <c r="E8" s="21">
        <f t="shared" ref="E8:E13" si="0">E7+B8-C8</f>
        <v>668500000</v>
      </c>
    </row>
    <row r="9" spans="1:6" ht="14.25" x14ac:dyDescent="0.2">
      <c r="A9" s="18">
        <v>2008</v>
      </c>
      <c r="B9" s="32">
        <v>231500000</v>
      </c>
      <c r="C9" s="20">
        <v>14097560.98</v>
      </c>
      <c r="D9" s="63">
        <v>34310692.789999999</v>
      </c>
      <c r="E9" s="21">
        <f t="shared" si="0"/>
        <v>885902439.01999998</v>
      </c>
    </row>
    <row r="10" spans="1:6" ht="14.25" x14ac:dyDescent="0.2">
      <c r="A10" s="18">
        <v>2009</v>
      </c>
      <c r="B10" s="20">
        <v>0</v>
      </c>
      <c r="C10" s="20">
        <v>14097560.98</v>
      </c>
      <c r="D10" s="63">
        <v>25277208.489999998</v>
      </c>
      <c r="E10" s="21">
        <f t="shared" si="0"/>
        <v>871804878.03999996</v>
      </c>
      <c r="F10" s="31"/>
    </row>
    <row r="11" spans="1:6" ht="14.25" x14ac:dyDescent="0.2">
      <c r="A11" s="18">
        <v>2010</v>
      </c>
      <c r="B11" s="32">
        <v>0</v>
      </c>
      <c r="C11" s="20">
        <v>14097560.98</v>
      </c>
      <c r="D11" s="63">
        <v>13542957.52</v>
      </c>
      <c r="E11" s="21">
        <f t="shared" si="0"/>
        <v>857707317.05999994</v>
      </c>
      <c r="F11" s="31"/>
    </row>
    <row r="12" spans="1:6" ht="14.25" x14ac:dyDescent="0.2">
      <c r="A12" s="18">
        <v>2011</v>
      </c>
      <c r="B12" s="20">
        <v>0</v>
      </c>
      <c r="C12" s="20">
        <f>32609756.1</f>
        <v>32609756.100000001</v>
      </c>
      <c r="D12" s="63">
        <v>11525075.300000001</v>
      </c>
      <c r="E12" s="21">
        <f t="shared" si="0"/>
        <v>825097560.95999992</v>
      </c>
      <c r="F12" s="31"/>
    </row>
    <row r="13" spans="1:6" ht="14.25" x14ac:dyDescent="0.2">
      <c r="A13" s="18">
        <v>2012</v>
      </c>
      <c r="B13" s="20">
        <v>0</v>
      </c>
      <c r="C13" s="20">
        <v>43633565.619999997</v>
      </c>
      <c r="D13" s="63">
        <v>10401715.75</v>
      </c>
      <c r="E13" s="21">
        <f t="shared" si="0"/>
        <v>781463995.33999991</v>
      </c>
      <c r="F13" s="31"/>
    </row>
    <row r="14" spans="1:6" ht="14.25" x14ac:dyDescent="0.2">
      <c r="A14" s="18">
        <v>2013</v>
      </c>
      <c r="B14" s="20">
        <v>0</v>
      </c>
      <c r="C14" s="20">
        <v>43633565.619999997</v>
      </c>
      <c r="D14" s="63">
        <v>4817666.47</v>
      </c>
      <c r="E14" s="21">
        <f t="shared" ref="E14:E18" si="1">E13+B14-C14</f>
        <v>737830429.71999991</v>
      </c>
      <c r="F14" s="31"/>
    </row>
    <row r="15" spans="1:6" ht="14.25" x14ac:dyDescent="0.2">
      <c r="A15" s="18">
        <v>2014</v>
      </c>
      <c r="B15" s="20">
        <v>0</v>
      </c>
      <c r="C15" s="20">
        <v>43633565.619999997</v>
      </c>
      <c r="D15" s="63">
        <v>4046766.79</v>
      </c>
      <c r="E15" s="21">
        <f t="shared" si="1"/>
        <v>694196864.0999999</v>
      </c>
      <c r="F15" s="31"/>
    </row>
    <row r="16" spans="1:6" ht="14.25" x14ac:dyDescent="0.2">
      <c r="A16" s="18">
        <v>2015</v>
      </c>
      <c r="B16" s="20">
        <v>0</v>
      </c>
      <c r="C16" s="20">
        <f>21816782.81*2</f>
        <v>43633565.619999997</v>
      </c>
      <c r="D16" s="63">
        <v>3494443.4</v>
      </c>
      <c r="E16" s="21">
        <f t="shared" si="1"/>
        <v>650563298.4799999</v>
      </c>
      <c r="F16" s="31"/>
    </row>
    <row r="17" spans="1:7" ht="14.25" x14ac:dyDescent="0.2">
      <c r="A17" s="18">
        <v>2016</v>
      </c>
      <c r="B17" s="20">
        <v>0</v>
      </c>
      <c r="C17" s="20">
        <v>43633565.619999997</v>
      </c>
      <c r="D17" s="63">
        <v>3082889.79</v>
      </c>
      <c r="E17" s="21">
        <f t="shared" si="1"/>
        <v>606929732.8599999</v>
      </c>
      <c r="F17" s="31"/>
    </row>
    <row r="18" spans="1:7" ht="14.25" x14ac:dyDescent="0.2">
      <c r="A18" s="18">
        <v>2017</v>
      </c>
      <c r="B18" s="20">
        <v>0</v>
      </c>
      <c r="C18" s="20">
        <f>C17</f>
        <v>43633565.619999997</v>
      </c>
      <c r="D18" s="63">
        <v>3054756.92</v>
      </c>
      <c r="E18" s="21">
        <f t="shared" si="1"/>
        <v>563296167.23999989</v>
      </c>
      <c r="F18" s="31"/>
    </row>
    <row r="19" spans="1:7" ht="14.25" x14ac:dyDescent="0.2">
      <c r="A19" s="18">
        <v>2018</v>
      </c>
      <c r="B19" s="32">
        <v>0</v>
      </c>
      <c r="C19" s="20">
        <v>43633565.619999997</v>
      </c>
      <c r="D19" s="63">
        <v>6149452.6299999999</v>
      </c>
      <c r="E19" s="21">
        <f t="shared" ref="E19:E24" si="2">E18+B19-C19</f>
        <v>519662601.61999989</v>
      </c>
      <c r="F19" s="31"/>
    </row>
    <row r="20" spans="1:7" ht="14.25" x14ac:dyDescent="0.2">
      <c r="A20" s="18">
        <v>2019</v>
      </c>
      <c r="B20" s="32">
        <v>0</v>
      </c>
      <c r="C20" s="20">
        <f>43633565.62</f>
        <v>43633565.619999997</v>
      </c>
      <c r="D20" s="63">
        <v>9712004.8100000005</v>
      </c>
      <c r="E20" s="21">
        <f t="shared" si="2"/>
        <v>476029035.99999988</v>
      </c>
      <c r="F20" s="31"/>
    </row>
    <row r="21" spans="1:7" ht="14.25" x14ac:dyDescent="0.2">
      <c r="A21" s="18">
        <v>2020</v>
      </c>
      <c r="B21" s="20">
        <v>0</v>
      </c>
      <c r="C21" s="20">
        <f>C20</f>
        <v>43633565.619999997</v>
      </c>
      <c r="D21" s="63">
        <v>6247446.3099999996</v>
      </c>
      <c r="E21" s="21">
        <f t="shared" si="2"/>
        <v>432395470.37999988</v>
      </c>
      <c r="F21" s="31"/>
    </row>
    <row r="22" spans="1:7" ht="14.25" x14ac:dyDescent="0.2">
      <c r="A22" s="18">
        <v>2021</v>
      </c>
      <c r="B22" s="20">
        <v>0</v>
      </c>
      <c r="C22" s="20">
        <v>43633565.619999997</v>
      </c>
      <c r="D22" s="63">
        <v>3304529.17</v>
      </c>
      <c r="E22" s="21">
        <f t="shared" si="2"/>
        <v>388761904.75999987</v>
      </c>
      <c r="F22" s="31"/>
    </row>
    <row r="23" spans="1:7" ht="14.25" x14ac:dyDescent="0.2">
      <c r="A23" s="18">
        <v>2022</v>
      </c>
      <c r="B23" s="20">
        <v>0</v>
      </c>
      <c r="C23" s="20">
        <f>43633565.62</f>
        <v>43633565.619999997</v>
      </c>
      <c r="D23" s="20">
        <v>15513375.949999999</v>
      </c>
      <c r="E23" s="21">
        <f t="shared" si="2"/>
        <v>345128339.13999987</v>
      </c>
      <c r="F23" s="31"/>
    </row>
    <row r="24" spans="1:7" ht="15" thickBot="1" x14ac:dyDescent="0.25">
      <c r="A24" s="22">
        <v>2023</v>
      </c>
      <c r="B24" s="23">
        <v>0</v>
      </c>
      <c r="C24" s="23">
        <f>43633565.62</f>
        <v>43633565.619999997</v>
      </c>
      <c r="D24" s="23">
        <v>19741190.850000001</v>
      </c>
      <c r="E24" s="24">
        <f t="shared" si="2"/>
        <v>301494773.51999986</v>
      </c>
      <c r="F24" s="31"/>
    </row>
    <row r="25" spans="1:7" ht="16.5" thickTop="1" thickBot="1" x14ac:dyDescent="0.3">
      <c r="A25" s="25" t="s">
        <v>22</v>
      </c>
      <c r="B25" s="26">
        <f>SUM(B7:B24)</f>
        <v>900000000</v>
      </c>
      <c r="C25" s="26">
        <f>SUM(C7:C24)</f>
        <v>598505226.48000002</v>
      </c>
      <c r="D25" s="27">
        <f>SUM(D7:D24)</f>
        <v>193089369.60999998</v>
      </c>
      <c r="E25" s="28">
        <f>B25-C25</f>
        <v>301494773.51999998</v>
      </c>
      <c r="F25" s="31">
        <f>B25-C25</f>
        <v>301494773.51999998</v>
      </c>
      <c r="G25" s="31"/>
    </row>
    <row r="26" spans="1:7" ht="13.5" thickTop="1" x14ac:dyDescent="0.2">
      <c r="A26" s="67"/>
      <c r="B26" s="67"/>
      <c r="C26" s="67"/>
      <c r="D26" s="67"/>
      <c r="E26" s="67"/>
    </row>
    <row r="27" spans="1:7" x14ac:dyDescent="0.2">
      <c r="A27" s="3"/>
      <c r="B27" s="3"/>
      <c r="C27" s="3"/>
      <c r="D27" s="3"/>
      <c r="E27" s="3"/>
    </row>
    <row r="28" spans="1:7" ht="15.75" x14ac:dyDescent="0.25">
      <c r="A28" s="2" t="s">
        <v>6</v>
      </c>
      <c r="C28" s="10" t="s">
        <v>5</v>
      </c>
      <c r="D28" s="10"/>
      <c r="E28" s="47">
        <v>3000000000</v>
      </c>
    </row>
    <row r="29" spans="1:7" ht="15" x14ac:dyDescent="0.2">
      <c r="A29" s="11" t="s">
        <v>7</v>
      </c>
      <c r="B29" s="12"/>
    </row>
    <row r="30" spans="1:7" ht="13.5" thickBot="1" x14ac:dyDescent="0.25">
      <c r="A30" s="1" t="s">
        <v>11</v>
      </c>
      <c r="E30" s="13" t="s">
        <v>9</v>
      </c>
    </row>
    <row r="31" spans="1:7" ht="16.5" thickTop="1" thickBot="1" x14ac:dyDescent="0.25">
      <c r="A31" s="14" t="s">
        <v>0</v>
      </c>
      <c r="B31" s="15" t="s">
        <v>1</v>
      </c>
      <c r="C31" s="16" t="s">
        <v>2</v>
      </c>
      <c r="D31" s="62" t="s">
        <v>20</v>
      </c>
      <c r="E31" s="17" t="s">
        <v>3</v>
      </c>
    </row>
    <row r="32" spans="1:7" ht="15" thickTop="1" x14ac:dyDescent="0.2">
      <c r="A32" s="18">
        <v>2008</v>
      </c>
      <c r="B32" s="33">
        <v>450000000</v>
      </c>
      <c r="C32" s="33">
        <v>0</v>
      </c>
      <c r="D32" s="63">
        <v>11310000</v>
      </c>
      <c r="E32" s="21">
        <f>+B32-C32</f>
        <v>450000000</v>
      </c>
      <c r="F32" s="31">
        <f>E25+E48</f>
        <v>1951494773.9200003</v>
      </c>
    </row>
    <row r="33" spans="1:7" ht="14.25" x14ac:dyDescent="0.2">
      <c r="A33" s="18">
        <v>2009</v>
      </c>
      <c r="B33" s="32">
        <v>750000000</v>
      </c>
      <c r="C33" s="20">
        <v>0</v>
      </c>
      <c r="D33" s="63">
        <v>19646666.670000002</v>
      </c>
      <c r="E33" s="21">
        <f t="shared" ref="E33:E44" si="3">E32+B33-C33</f>
        <v>1200000000</v>
      </c>
    </row>
    <row r="34" spans="1:7" ht="14.25" x14ac:dyDescent="0.2">
      <c r="A34" s="18">
        <v>2010</v>
      </c>
      <c r="B34" s="20">
        <v>200000000</v>
      </c>
      <c r="C34" s="20">
        <v>0</v>
      </c>
      <c r="D34" s="63">
        <v>20112277.780000001</v>
      </c>
      <c r="E34" s="21">
        <f t="shared" si="3"/>
        <v>1400000000</v>
      </c>
    </row>
    <row r="35" spans="1:7" ht="14.25" x14ac:dyDescent="0.2">
      <c r="A35" s="18">
        <v>2011</v>
      </c>
      <c r="B35" s="20">
        <v>500000000</v>
      </c>
      <c r="C35" s="20">
        <v>0</v>
      </c>
      <c r="D35" s="63">
        <v>19096777.77</v>
      </c>
      <c r="E35" s="21">
        <f t="shared" si="3"/>
        <v>1900000000</v>
      </c>
    </row>
    <row r="36" spans="1:7" ht="14.25" x14ac:dyDescent="0.2">
      <c r="A36" s="18">
        <v>2012</v>
      </c>
      <c r="B36" s="20">
        <v>500000000</v>
      </c>
      <c r="C36" s="20">
        <v>21428571.420000002</v>
      </c>
      <c r="D36" s="63">
        <v>26519369.059999999</v>
      </c>
      <c r="E36" s="21">
        <f t="shared" si="3"/>
        <v>2378571428.5799999</v>
      </c>
      <c r="F36" s="44"/>
    </row>
    <row r="37" spans="1:7" ht="14.25" x14ac:dyDescent="0.2">
      <c r="A37" s="18">
        <v>2013</v>
      </c>
      <c r="B37" s="20">
        <v>600000000</v>
      </c>
      <c r="C37" s="20">
        <v>57142857.119999997</v>
      </c>
      <c r="D37" s="63">
        <v>17315603.170000002</v>
      </c>
      <c r="E37" s="21">
        <f t="shared" si="3"/>
        <v>2921428571.46</v>
      </c>
      <c r="F37" s="44"/>
    </row>
    <row r="38" spans="1:7" ht="14.25" x14ac:dyDescent="0.2">
      <c r="A38" s="18">
        <v>2014</v>
      </c>
      <c r="B38" s="20">
        <v>0</v>
      </c>
      <c r="C38" s="20">
        <v>66666666.640000001</v>
      </c>
      <c r="D38" s="63">
        <v>14504710.289999999</v>
      </c>
      <c r="E38" s="21">
        <f t="shared" si="3"/>
        <v>2854761904.8200002</v>
      </c>
      <c r="F38" s="44"/>
    </row>
    <row r="39" spans="1:7" ht="14.25" x14ac:dyDescent="0.2">
      <c r="A39" s="18">
        <v>2015</v>
      </c>
      <c r="B39" s="20">
        <v>0</v>
      </c>
      <c r="C39" s="20">
        <f>45238095.22*2</f>
        <v>90476190.439999998</v>
      </c>
      <c r="D39" s="63">
        <v>12923226.16</v>
      </c>
      <c r="E39" s="21">
        <f t="shared" si="3"/>
        <v>2764285714.3800001</v>
      </c>
      <c r="F39" s="44"/>
    </row>
    <row r="40" spans="1:7" ht="14.25" x14ac:dyDescent="0.2">
      <c r="A40" s="18">
        <v>2016</v>
      </c>
      <c r="B40" s="32">
        <v>0</v>
      </c>
      <c r="C40" s="20">
        <v>114285714.23999999</v>
      </c>
      <c r="D40" s="63">
        <v>11681500</v>
      </c>
      <c r="E40" s="21">
        <f t="shared" si="3"/>
        <v>2650000000.1400003</v>
      </c>
      <c r="F40" s="44"/>
    </row>
    <row r="41" spans="1:7" ht="14.25" x14ac:dyDescent="0.2">
      <c r="A41" s="18">
        <v>2017</v>
      </c>
      <c r="B41" s="32">
        <v>0</v>
      </c>
      <c r="C41" s="20">
        <f>71428571.41*2</f>
        <v>142857142.81999999</v>
      </c>
      <c r="D41" s="63">
        <v>12238327.380000001</v>
      </c>
      <c r="E41" s="21">
        <f t="shared" si="3"/>
        <v>2507142857.3200002</v>
      </c>
      <c r="F41" s="54"/>
    </row>
    <row r="42" spans="1:7" ht="14.25" x14ac:dyDescent="0.2">
      <c r="A42" s="18">
        <v>2018</v>
      </c>
      <c r="B42" s="32">
        <v>0</v>
      </c>
      <c r="C42" s="20">
        <v>142857142.81999999</v>
      </c>
      <c r="D42" s="63">
        <v>28933001.989999998</v>
      </c>
      <c r="E42" s="21">
        <f t="shared" si="3"/>
        <v>2364285714.5</v>
      </c>
      <c r="F42" s="44"/>
    </row>
    <row r="43" spans="1:7" ht="14.25" x14ac:dyDescent="0.2">
      <c r="A43" s="18">
        <v>2019</v>
      </c>
      <c r="B43" s="32">
        <v>0</v>
      </c>
      <c r="C43" s="20">
        <f>142857142.82</f>
        <v>142857142.81999999</v>
      </c>
      <c r="D43" s="63">
        <v>52392339.299999997</v>
      </c>
      <c r="E43" s="21">
        <f t="shared" si="3"/>
        <v>2221428571.6799998</v>
      </c>
      <c r="F43" s="44"/>
    </row>
    <row r="44" spans="1:7" ht="14.25" x14ac:dyDescent="0.2">
      <c r="A44" s="18">
        <v>2020</v>
      </c>
      <c r="B44" s="32">
        <v>0</v>
      </c>
      <c r="C44" s="20">
        <f>142857142.82</f>
        <v>142857142.81999999</v>
      </c>
      <c r="D44" s="63">
        <v>32016611.140000001</v>
      </c>
      <c r="E44" s="21">
        <f t="shared" si="3"/>
        <v>2078571428.8599999</v>
      </c>
      <c r="F44" s="44"/>
    </row>
    <row r="45" spans="1:7" ht="14.25" x14ac:dyDescent="0.2">
      <c r="A45" s="18">
        <v>2021</v>
      </c>
      <c r="B45" s="32">
        <v>0</v>
      </c>
      <c r="C45" s="20">
        <f>142857142.82</f>
        <v>142857142.81999999</v>
      </c>
      <c r="D45" s="63">
        <v>14158811.52</v>
      </c>
      <c r="E45" s="21">
        <f>E44+B45-C45</f>
        <v>1935714286.04</v>
      </c>
      <c r="F45" s="44"/>
    </row>
    <row r="46" spans="1:7" ht="14.25" x14ac:dyDescent="0.2">
      <c r="A46" s="18">
        <v>2022</v>
      </c>
      <c r="B46" s="20">
        <v>0</v>
      </c>
      <c r="C46" s="20">
        <f>142857142.82</f>
        <v>142857142.81999999</v>
      </c>
      <c r="D46" s="20">
        <v>107070182.55</v>
      </c>
      <c r="E46" s="21">
        <f>E45+B46-C46</f>
        <v>1792857143.22</v>
      </c>
      <c r="F46" s="44"/>
    </row>
    <row r="47" spans="1:7" ht="15" thickBot="1" x14ac:dyDescent="0.25">
      <c r="A47" s="22">
        <v>2023</v>
      </c>
      <c r="B47" s="23">
        <v>0</v>
      </c>
      <c r="C47" s="23">
        <f>142857142.82</f>
        <v>142857142.81999999</v>
      </c>
      <c r="D47" s="23">
        <v>130106970.22</v>
      </c>
      <c r="E47" s="24">
        <f>E46+B47-C47</f>
        <v>1650000000.4000001</v>
      </c>
      <c r="F47" s="31"/>
    </row>
    <row r="48" spans="1:7" ht="16.5" thickTop="1" thickBot="1" x14ac:dyDescent="0.3">
      <c r="A48" s="25" t="s">
        <v>22</v>
      </c>
      <c r="B48" s="26">
        <f>SUM(B32:B47)</f>
        <v>3000000000</v>
      </c>
      <c r="C48" s="26">
        <f>SUM(C32:C47)</f>
        <v>1349999999.5999997</v>
      </c>
      <c r="D48" s="27">
        <f>SUM(D32:D47)</f>
        <v>530026375</v>
      </c>
      <c r="E48" s="28">
        <f>B48-C48</f>
        <v>1650000000.4000003</v>
      </c>
      <c r="F48" s="54">
        <f>B48-C48</f>
        <v>1650000000.4000003</v>
      </c>
      <c r="G48" s="8"/>
    </row>
    <row r="49" spans="1:6" ht="15.75" thickTop="1" x14ac:dyDescent="0.25">
      <c r="A49" s="49"/>
      <c r="B49" s="50"/>
      <c r="C49" s="50"/>
      <c r="D49" s="50"/>
      <c r="E49" s="50"/>
      <c r="F49" s="56"/>
    </row>
    <row r="50" spans="1:6" ht="15" x14ac:dyDescent="0.25">
      <c r="A50" s="49"/>
      <c r="B50" s="50"/>
      <c r="C50" s="50"/>
      <c r="D50" s="50"/>
      <c r="E50" s="50"/>
      <c r="F50" s="56"/>
    </row>
    <row r="51" spans="1:6" ht="15.75" x14ac:dyDescent="0.25">
      <c r="A51" s="2" t="s">
        <v>13</v>
      </c>
      <c r="C51" s="10" t="s">
        <v>5</v>
      </c>
      <c r="D51" s="10"/>
      <c r="E51" s="4">
        <v>700000000</v>
      </c>
    </row>
    <row r="52" spans="1:6" ht="15" x14ac:dyDescent="0.2">
      <c r="A52" s="11" t="s">
        <v>8</v>
      </c>
      <c r="B52" s="12"/>
    </row>
    <row r="53" spans="1:6" ht="13.5" thickBot="1" x14ac:dyDescent="0.25">
      <c r="A53" s="1" t="s">
        <v>15</v>
      </c>
      <c r="E53" s="13" t="s">
        <v>9</v>
      </c>
    </row>
    <row r="54" spans="1:6" ht="16.5" thickTop="1" thickBot="1" x14ac:dyDescent="0.25">
      <c r="A54" s="14" t="s">
        <v>0</v>
      </c>
      <c r="B54" s="15" t="s">
        <v>1</v>
      </c>
      <c r="C54" s="16" t="s">
        <v>2</v>
      </c>
      <c r="D54" s="62" t="s">
        <v>20</v>
      </c>
      <c r="E54" s="17" t="s">
        <v>3</v>
      </c>
    </row>
    <row r="55" spans="1:6" ht="15" thickTop="1" x14ac:dyDescent="0.2">
      <c r="A55" s="18">
        <v>2010</v>
      </c>
      <c r="B55" s="32">
        <v>186840000</v>
      </c>
      <c r="C55" s="20">
        <v>0</v>
      </c>
      <c r="D55" s="63">
        <f>270918+288045+280208.1+288045</f>
        <v>1127216.1000000001</v>
      </c>
      <c r="E55" s="21">
        <f>+B55-C55</f>
        <v>186840000</v>
      </c>
    </row>
    <row r="56" spans="1:6" ht="14.25" x14ac:dyDescent="0.2">
      <c r="A56" s="18">
        <v>2011</v>
      </c>
      <c r="B56" s="20">
        <f>181854000+87556935.78</f>
        <v>269410935.77999997</v>
      </c>
      <c r="C56" s="20">
        <v>0</v>
      </c>
      <c r="D56" s="63">
        <v>5967732.1399999997</v>
      </c>
      <c r="E56" s="21">
        <f t="shared" ref="E56:E68" si="4">E55+B56-C56</f>
        <v>456250935.77999997</v>
      </c>
    </row>
    <row r="57" spans="1:6" ht="14.25" x14ac:dyDescent="0.2">
      <c r="A57" s="18">
        <v>2012</v>
      </c>
      <c r="B57" s="20">
        <v>238381000</v>
      </c>
      <c r="C57" s="20">
        <v>0</v>
      </c>
      <c r="D57" s="63">
        <v>10681473.73</v>
      </c>
      <c r="E57" s="21">
        <f t="shared" si="4"/>
        <v>694631935.77999997</v>
      </c>
    </row>
    <row r="58" spans="1:6" ht="14.25" x14ac:dyDescent="0.2">
      <c r="A58" s="18">
        <v>2013</v>
      </c>
      <c r="B58" s="20">
        <v>5368064.22</v>
      </c>
      <c r="C58" s="20">
        <f>11111112+11111112+5555556+5555556</f>
        <v>33333336</v>
      </c>
      <c r="D58" s="63">
        <v>7737882.4500000002</v>
      </c>
      <c r="E58" s="21">
        <f t="shared" si="4"/>
        <v>666666664</v>
      </c>
    </row>
    <row r="59" spans="1:6" ht="14.25" x14ac:dyDescent="0.2">
      <c r="A59" s="18">
        <v>2014</v>
      </c>
      <c r="B59" s="20">
        <v>0</v>
      </c>
      <c r="C59" s="20">
        <v>66666672</v>
      </c>
      <c r="D59" s="63">
        <v>6852274.6399999997</v>
      </c>
      <c r="E59" s="21">
        <f t="shared" si="4"/>
        <v>599999992</v>
      </c>
    </row>
    <row r="60" spans="1:6" ht="14.25" x14ac:dyDescent="0.2">
      <c r="A60" s="18">
        <v>2015</v>
      </c>
      <c r="B60" s="20">
        <v>0</v>
      </c>
      <c r="C60" s="20">
        <f>(33333336/6)*12</f>
        <v>66666672</v>
      </c>
      <c r="D60" s="63">
        <v>5842671.1900000004</v>
      </c>
      <c r="E60" s="21">
        <f t="shared" si="4"/>
        <v>533333320</v>
      </c>
    </row>
    <row r="61" spans="1:6" ht="14.25" x14ac:dyDescent="0.2">
      <c r="A61" s="18">
        <v>2016</v>
      </c>
      <c r="B61" s="20">
        <v>0</v>
      </c>
      <c r="C61" s="20">
        <v>61111116</v>
      </c>
      <c r="D61" s="63">
        <v>4657124.8600000003</v>
      </c>
      <c r="E61" s="21">
        <f t="shared" si="4"/>
        <v>472222204</v>
      </c>
    </row>
    <row r="62" spans="1:6" ht="14.25" x14ac:dyDescent="0.2">
      <c r="A62" s="18">
        <v>2017</v>
      </c>
      <c r="B62" s="32">
        <v>0</v>
      </c>
      <c r="C62" s="20">
        <v>72222228</v>
      </c>
      <c r="D62" s="63">
        <v>5091178.76</v>
      </c>
      <c r="E62" s="21">
        <f t="shared" si="4"/>
        <v>399999976</v>
      </c>
    </row>
    <row r="63" spans="1:6" ht="14.25" x14ac:dyDescent="0.2">
      <c r="A63" s="18">
        <v>2018</v>
      </c>
      <c r="B63" s="32">
        <v>0</v>
      </c>
      <c r="C63" s="20">
        <v>66666672</v>
      </c>
      <c r="D63" s="63">
        <v>6954116.7800000003</v>
      </c>
      <c r="E63" s="21">
        <f t="shared" si="4"/>
        <v>333333304</v>
      </c>
    </row>
    <row r="64" spans="1:6" ht="14.25" x14ac:dyDescent="0.2">
      <c r="A64" s="18">
        <v>2019</v>
      </c>
      <c r="B64" s="20">
        <v>0</v>
      </c>
      <c r="C64" s="20">
        <f>5555556*12</f>
        <v>66666672</v>
      </c>
      <c r="D64" s="63">
        <v>8586971.3200000003</v>
      </c>
      <c r="E64" s="21">
        <f t="shared" si="4"/>
        <v>266666632</v>
      </c>
    </row>
    <row r="65" spans="1:7" ht="14.25" x14ac:dyDescent="0.2">
      <c r="A65" s="18">
        <v>2020</v>
      </c>
      <c r="B65" s="32">
        <v>0</v>
      </c>
      <c r="C65" s="20">
        <f>5555556*12</f>
        <v>66666672</v>
      </c>
      <c r="D65" s="63">
        <v>4165940.73</v>
      </c>
      <c r="E65" s="21">
        <f t="shared" si="4"/>
        <v>199999960</v>
      </c>
    </row>
    <row r="66" spans="1:7" ht="14.25" x14ac:dyDescent="0.2">
      <c r="A66" s="18">
        <v>2021</v>
      </c>
      <c r="B66" s="32">
        <v>0</v>
      </c>
      <c r="C66" s="20">
        <f>5555556*12</f>
        <v>66666672</v>
      </c>
      <c r="D66" s="63">
        <v>2583945.2999999998</v>
      </c>
      <c r="E66" s="21">
        <f t="shared" si="4"/>
        <v>133333288</v>
      </c>
    </row>
    <row r="67" spans="1:7" ht="14.25" x14ac:dyDescent="0.2">
      <c r="A67" s="18">
        <v>2022</v>
      </c>
      <c r="B67" s="20">
        <v>0</v>
      </c>
      <c r="C67" s="20">
        <f>5555556*12</f>
        <v>66666672</v>
      </c>
      <c r="D67" s="20">
        <v>6772879.4400000004</v>
      </c>
      <c r="E67" s="21">
        <f t="shared" si="4"/>
        <v>66666616</v>
      </c>
    </row>
    <row r="68" spans="1:7" ht="15" thickBot="1" x14ac:dyDescent="0.25">
      <c r="A68" s="22">
        <v>2023</v>
      </c>
      <c r="B68" s="66">
        <v>0</v>
      </c>
      <c r="C68" s="23">
        <v>66666616</v>
      </c>
      <c r="D68" s="23">
        <v>2877342.98</v>
      </c>
      <c r="E68" s="24">
        <f t="shared" si="4"/>
        <v>0</v>
      </c>
    </row>
    <row r="69" spans="1:7" ht="16.5" thickTop="1" thickBot="1" x14ac:dyDescent="0.3">
      <c r="A69" s="25" t="s">
        <v>22</v>
      </c>
      <c r="B69" s="26">
        <f>SUM(B55:B68)</f>
        <v>700000000</v>
      </c>
      <c r="C69" s="27">
        <f>SUM(C55:C68)</f>
        <v>700000000</v>
      </c>
      <c r="D69" s="27">
        <f>SUM(D55:D68)</f>
        <v>79898750.420000002</v>
      </c>
      <c r="E69" s="28">
        <f>B69-C69</f>
        <v>0</v>
      </c>
      <c r="F69" s="55">
        <f>B69-C69</f>
        <v>0</v>
      </c>
      <c r="G69" s="8"/>
    </row>
    <row r="70" spans="1:7" ht="15.75" thickTop="1" x14ac:dyDescent="0.25">
      <c r="A70" s="49"/>
      <c r="B70" s="50"/>
      <c r="C70" s="50"/>
      <c r="D70" s="50"/>
      <c r="E70" s="50"/>
      <c r="F70" s="55"/>
      <c r="G70" s="8"/>
    </row>
    <row r="71" spans="1:7" ht="15" x14ac:dyDescent="0.25">
      <c r="A71" s="49"/>
      <c r="B71" s="50"/>
      <c r="C71" s="50"/>
      <c r="D71" s="50"/>
      <c r="E71" s="50"/>
      <c r="F71" s="55"/>
      <c r="G71" s="8"/>
    </row>
    <row r="72" spans="1:7" ht="15.75" x14ac:dyDescent="0.25">
      <c r="A72" s="2" t="s">
        <v>14</v>
      </c>
      <c r="C72" s="10" t="s">
        <v>5</v>
      </c>
      <c r="D72" s="10"/>
      <c r="E72" s="4">
        <v>100000000</v>
      </c>
      <c r="F72" s="55"/>
      <c r="G72" s="8"/>
    </row>
    <row r="73" spans="1:7" ht="15" x14ac:dyDescent="0.2">
      <c r="A73" s="11" t="s">
        <v>8</v>
      </c>
      <c r="B73" s="12"/>
      <c r="F73" s="55"/>
      <c r="G73" s="8"/>
    </row>
    <row r="74" spans="1:7" ht="13.5" thickBot="1" x14ac:dyDescent="0.25">
      <c r="A74" s="1" t="s">
        <v>17</v>
      </c>
      <c r="E74" s="13" t="s">
        <v>9</v>
      </c>
      <c r="F74" s="55"/>
      <c r="G74" s="8"/>
    </row>
    <row r="75" spans="1:7" ht="16.5" thickTop="1" thickBot="1" x14ac:dyDescent="0.25">
      <c r="A75" s="14" t="s">
        <v>0</v>
      </c>
      <c r="B75" s="15" t="s">
        <v>1</v>
      </c>
      <c r="C75" s="53" t="s">
        <v>2</v>
      </c>
      <c r="D75" s="62" t="s">
        <v>21</v>
      </c>
      <c r="E75" s="17" t="s">
        <v>3</v>
      </c>
      <c r="F75" s="55"/>
      <c r="G75" s="8"/>
    </row>
    <row r="76" spans="1:7" ht="15" thickTop="1" x14ac:dyDescent="0.2">
      <c r="A76" s="57">
        <v>2018</v>
      </c>
      <c r="B76" s="33">
        <v>62252008.049999997</v>
      </c>
      <c r="C76" s="33">
        <v>0</v>
      </c>
      <c r="D76" s="65">
        <v>257690.72</v>
      </c>
      <c r="E76" s="58">
        <f>B76-C76</f>
        <v>62252008.049999997</v>
      </c>
      <c r="F76" s="55"/>
      <c r="G76" s="8"/>
    </row>
    <row r="77" spans="1:7" ht="14.25" x14ac:dyDescent="0.2">
      <c r="A77" s="18">
        <v>2019</v>
      </c>
      <c r="B77" s="20">
        <v>28630986</v>
      </c>
      <c r="C77" s="20">
        <v>0</v>
      </c>
      <c r="D77" s="63">
        <v>1306455.6299999999</v>
      </c>
      <c r="E77" s="21">
        <f>E76+B77-C77</f>
        <v>90882994.049999997</v>
      </c>
      <c r="F77" s="55"/>
      <c r="G77" s="8"/>
    </row>
    <row r="78" spans="1:7" ht="14.25" x14ac:dyDescent="0.2">
      <c r="A78" s="18">
        <v>2020</v>
      </c>
      <c r="B78" s="20">
        <v>9117005.9499999993</v>
      </c>
      <c r="C78" s="20">
        <f>9091000*2</f>
        <v>18182000</v>
      </c>
      <c r="D78" s="63">
        <v>1950502.27</v>
      </c>
      <c r="E78" s="21">
        <f>E77+B78-C78</f>
        <v>81818000</v>
      </c>
      <c r="F78" s="55"/>
      <c r="G78" s="8"/>
    </row>
    <row r="79" spans="1:7" ht="14.25" x14ac:dyDescent="0.2">
      <c r="A79" s="18">
        <v>2021</v>
      </c>
      <c r="B79" s="20">
        <v>0</v>
      </c>
      <c r="C79" s="20">
        <f>9091000*2</f>
        <v>18182000</v>
      </c>
      <c r="D79" s="63">
        <v>1503995.47</v>
      </c>
      <c r="E79" s="21">
        <f>E78+B79-C79</f>
        <v>63636000</v>
      </c>
      <c r="F79" s="55"/>
      <c r="G79" s="8"/>
    </row>
    <row r="80" spans="1:7" ht="14.25" x14ac:dyDescent="0.2">
      <c r="A80" s="18">
        <v>2022</v>
      </c>
      <c r="B80" s="20">
        <v>0</v>
      </c>
      <c r="C80" s="20">
        <v>18182000</v>
      </c>
      <c r="D80" s="63">
        <v>1150052.6399999999</v>
      </c>
      <c r="E80" s="21">
        <f>E79+B80-C80</f>
        <v>45454000</v>
      </c>
      <c r="F80" s="55"/>
      <c r="G80" s="8"/>
    </row>
    <row r="81" spans="1:9" ht="15" thickBot="1" x14ac:dyDescent="0.25">
      <c r="A81" s="18">
        <v>2023</v>
      </c>
      <c r="B81" s="20">
        <v>0</v>
      </c>
      <c r="C81" s="20">
        <v>18182000</v>
      </c>
      <c r="D81" s="63">
        <v>796109.7</v>
      </c>
      <c r="E81" s="21">
        <f>E80+B81-C81</f>
        <v>27272000</v>
      </c>
      <c r="F81" s="55"/>
      <c r="G81" s="8"/>
    </row>
    <row r="82" spans="1:9" ht="16.5" thickTop="1" thickBot="1" x14ac:dyDescent="0.3">
      <c r="A82" s="60" t="s">
        <v>22</v>
      </c>
      <c r="B82" s="59">
        <f>SUM(B76:B81)</f>
        <v>100000000</v>
      </c>
      <c r="C82" s="59">
        <f>SUM(C76:C81)</f>
        <v>72728000</v>
      </c>
      <c r="D82" s="59">
        <f>SUM(D76:D81)</f>
        <v>6964806.4299999997</v>
      </c>
      <c r="E82" s="61">
        <f>B82-C82</f>
        <v>27272000</v>
      </c>
      <c r="F82" s="55">
        <f>B82-C82</f>
        <v>27272000</v>
      </c>
      <c r="G82" s="8"/>
    </row>
    <row r="83" spans="1:9" ht="15.75" thickTop="1" x14ac:dyDescent="0.25">
      <c r="A83" s="49"/>
      <c r="B83" s="50"/>
      <c r="C83" s="50"/>
      <c r="D83" s="50"/>
      <c r="E83" s="50"/>
      <c r="F83" s="55"/>
      <c r="G83" s="8"/>
    </row>
    <row r="84" spans="1:9" ht="15" x14ac:dyDescent="0.25">
      <c r="A84" s="49"/>
      <c r="B84" s="50"/>
      <c r="C84" s="50"/>
      <c r="D84" s="50"/>
      <c r="E84" s="50"/>
      <c r="F84" s="55"/>
      <c r="G84" s="8"/>
    </row>
    <row r="85" spans="1:9" ht="15.75" x14ac:dyDescent="0.25">
      <c r="A85" s="2" t="s">
        <v>16</v>
      </c>
      <c r="C85" s="10" t="s">
        <v>5</v>
      </c>
      <c r="D85" s="10"/>
      <c r="E85" s="4">
        <v>1000000000</v>
      </c>
      <c r="F85" s="46"/>
      <c r="G85" s="8"/>
    </row>
    <row r="86" spans="1:9" ht="15" x14ac:dyDescent="0.2">
      <c r="A86" s="11" t="s">
        <v>8</v>
      </c>
      <c r="B86" s="12"/>
      <c r="F86" s="46"/>
      <c r="G86" s="8"/>
    </row>
    <row r="87" spans="1:9" ht="25.5" customHeight="1" thickBot="1" x14ac:dyDescent="0.25">
      <c r="A87" s="69" t="s">
        <v>19</v>
      </c>
      <c r="B87" s="69"/>
      <c r="C87" s="69"/>
      <c r="E87" s="13" t="s">
        <v>9</v>
      </c>
      <c r="F87" s="46"/>
      <c r="G87" s="8"/>
    </row>
    <row r="88" spans="1:9" ht="16.5" thickTop="1" thickBot="1" x14ac:dyDescent="0.25">
      <c r="A88" s="14" t="s">
        <v>0</v>
      </c>
      <c r="B88" s="15" t="s">
        <v>1</v>
      </c>
      <c r="C88" s="53" t="s">
        <v>2</v>
      </c>
      <c r="D88" s="62" t="s">
        <v>20</v>
      </c>
      <c r="E88" s="17" t="s">
        <v>3</v>
      </c>
      <c r="F88" s="46"/>
      <c r="G88" s="8"/>
    </row>
    <row r="89" spans="1:9" ht="15" thickTop="1" x14ac:dyDescent="0.2">
      <c r="A89" s="57">
        <v>2021</v>
      </c>
      <c r="B89" s="33">
        <v>300000000</v>
      </c>
      <c r="C89" s="33">
        <f>15734705.43+31202078.72+32782162.5+73429064.09+10000000</f>
        <v>163148010.74000001</v>
      </c>
      <c r="D89" s="65">
        <v>1039747.11</v>
      </c>
      <c r="E89" s="58">
        <f>+B89-C89</f>
        <v>136851989.25999999</v>
      </c>
      <c r="F89" s="46"/>
      <c r="G89" s="8"/>
    </row>
    <row r="90" spans="1:9" ht="14.25" x14ac:dyDescent="0.2">
      <c r="A90" s="18">
        <v>2022</v>
      </c>
      <c r="B90" s="20">
        <v>500000000</v>
      </c>
      <c r="C90" s="20">
        <v>210084476.19</v>
      </c>
      <c r="D90" s="63">
        <v>17024665.129999999</v>
      </c>
      <c r="E90" s="21">
        <f>E89+B90-C90</f>
        <v>426767513.06999999</v>
      </c>
      <c r="F90" s="46"/>
      <c r="G90" s="8"/>
    </row>
    <row r="91" spans="1:9" ht="15" thickBot="1" x14ac:dyDescent="0.25">
      <c r="A91" s="22">
        <v>2023</v>
      </c>
      <c r="B91" s="23">
        <f>295299212.9-9335379.48</f>
        <v>285963833.41999996</v>
      </c>
      <c r="C91" s="23">
        <v>328989342.63</v>
      </c>
      <c r="D91" s="64">
        <v>30056922.399999999</v>
      </c>
      <c r="E91" s="24">
        <f>E90+B91-C91</f>
        <v>383742003.86000001</v>
      </c>
      <c r="F91" s="46"/>
      <c r="G91" s="8"/>
    </row>
    <row r="92" spans="1:9" ht="16.5" thickTop="1" thickBot="1" x14ac:dyDescent="0.3">
      <c r="A92" s="60" t="s">
        <v>22</v>
      </c>
      <c r="B92" s="59">
        <f>SUM(B89:B91)</f>
        <v>1085963833.4200001</v>
      </c>
      <c r="C92" s="59">
        <f>SUM(C89:C91)</f>
        <v>702221829.55999994</v>
      </c>
      <c r="D92" s="59">
        <f>SUM(D89:D91)</f>
        <v>48121334.640000001</v>
      </c>
      <c r="E92" s="61">
        <f>B92-C92</f>
        <v>383742003.86000013</v>
      </c>
      <c r="F92" s="55">
        <f>B92-C92</f>
        <v>383742003.86000013</v>
      </c>
      <c r="G92" s="8"/>
    </row>
    <row r="93" spans="1:9" ht="15.75" thickTop="1" x14ac:dyDescent="0.25">
      <c r="A93" s="49"/>
      <c r="B93" s="50"/>
      <c r="C93" s="50"/>
      <c r="D93" s="50"/>
      <c r="E93" s="50"/>
      <c r="F93" s="46"/>
      <c r="G93" s="8"/>
    </row>
    <row r="94" spans="1:9" ht="18.75" thickBot="1" x14ac:dyDescent="0.3">
      <c r="A94" s="35" t="s">
        <v>4</v>
      </c>
      <c r="B94" s="36"/>
      <c r="C94" s="36"/>
      <c r="D94" s="36"/>
      <c r="E94" s="34" t="s">
        <v>9</v>
      </c>
      <c r="G94" s="45"/>
    </row>
    <row r="95" spans="1:9" ht="16.5" thickTop="1" thickBot="1" x14ac:dyDescent="0.25">
      <c r="A95" s="14" t="s">
        <v>0</v>
      </c>
      <c r="B95" s="15" t="s">
        <v>1</v>
      </c>
      <c r="C95" s="16" t="s">
        <v>2</v>
      </c>
      <c r="D95" s="62" t="s">
        <v>20</v>
      </c>
      <c r="E95" s="17" t="s">
        <v>3</v>
      </c>
    </row>
    <row r="96" spans="1:9" s="42" customFormat="1" ht="17.25" hidden="1" thickTop="1" x14ac:dyDescent="0.25">
      <c r="A96" s="38">
        <v>2005</v>
      </c>
      <c r="B96" s="39" t="e">
        <f>SUM(#REF!)</f>
        <v>#REF!</v>
      </c>
      <c r="C96" s="39" t="e">
        <f>SUM(#REF!)</f>
        <v>#REF!</v>
      </c>
      <c r="D96" s="39"/>
      <c r="E96" s="39" t="e">
        <f>SUM(#REF!)</f>
        <v>#REF!</v>
      </c>
      <c r="F96" s="40"/>
      <c r="G96" s="41"/>
      <c r="I96" s="43"/>
    </row>
    <row r="97" spans="1:9" s="42" customFormat="1" ht="17.25" thickTop="1" x14ac:dyDescent="0.25">
      <c r="A97" s="38">
        <v>2006</v>
      </c>
      <c r="B97" s="39">
        <f t="shared" ref="B97:E98" si="5">SUM(B7)</f>
        <v>289000000</v>
      </c>
      <c r="C97" s="39">
        <f t="shared" si="5"/>
        <v>0</v>
      </c>
      <c r="D97" s="39">
        <f t="shared" si="5"/>
        <v>3209947.08</v>
      </c>
      <c r="E97" s="39">
        <f t="shared" si="5"/>
        <v>289000000</v>
      </c>
      <c r="F97" s="51"/>
      <c r="G97" s="41"/>
      <c r="I97" s="43"/>
    </row>
    <row r="98" spans="1:9" s="42" customFormat="1" ht="16.5" x14ac:dyDescent="0.25">
      <c r="A98" s="38">
        <v>2007</v>
      </c>
      <c r="B98" s="39">
        <f t="shared" si="5"/>
        <v>379500000</v>
      </c>
      <c r="C98" s="39">
        <f t="shared" si="5"/>
        <v>0</v>
      </c>
      <c r="D98" s="39">
        <f t="shared" si="5"/>
        <v>15657249.59</v>
      </c>
      <c r="E98" s="39">
        <f t="shared" si="5"/>
        <v>668500000</v>
      </c>
      <c r="F98" s="51"/>
      <c r="G98" s="41"/>
      <c r="I98" s="43"/>
    </row>
    <row r="99" spans="1:9" s="42" customFormat="1" ht="16.5" x14ac:dyDescent="0.25">
      <c r="A99" s="38">
        <v>2008</v>
      </c>
      <c r="B99" s="39">
        <f>SUM(B9,B32)</f>
        <v>681500000</v>
      </c>
      <c r="C99" s="39">
        <f>SUM(C9,C32)</f>
        <v>14097560.98</v>
      </c>
      <c r="D99" s="39">
        <f>SUM(D9,D32)</f>
        <v>45620692.789999999</v>
      </c>
      <c r="E99" s="39">
        <f>SUM(E9,E32)</f>
        <v>1335902439.02</v>
      </c>
      <c r="F99" s="51"/>
      <c r="G99" s="41"/>
      <c r="I99" s="43"/>
    </row>
    <row r="100" spans="1:9" s="42" customFormat="1" ht="16.5" x14ac:dyDescent="0.25">
      <c r="A100" s="38">
        <v>2009</v>
      </c>
      <c r="B100" s="39">
        <f>SUM(B33,B10)</f>
        <v>750000000</v>
      </c>
      <c r="C100" s="39">
        <f>SUM(C33,C10)</f>
        <v>14097560.98</v>
      </c>
      <c r="D100" s="39">
        <f>SUM(D33,D10)</f>
        <v>44923875.159999996</v>
      </c>
      <c r="E100" s="39">
        <f>SUM(E33,E10)</f>
        <v>2071804878.04</v>
      </c>
      <c r="F100" s="51"/>
      <c r="G100" s="41"/>
      <c r="I100" s="43"/>
    </row>
    <row r="101" spans="1:9" s="42" customFormat="1" ht="16.5" x14ac:dyDescent="0.25">
      <c r="A101" s="38">
        <v>2010</v>
      </c>
      <c r="B101" s="39">
        <f t="shared" ref="B101:E102" si="6">SUM(B34,B11,B55)</f>
        <v>386840000</v>
      </c>
      <c r="C101" s="39">
        <f t="shared" si="6"/>
        <v>14097560.98</v>
      </c>
      <c r="D101" s="39">
        <f t="shared" si="6"/>
        <v>34782451.399999999</v>
      </c>
      <c r="E101" s="39">
        <f t="shared" si="6"/>
        <v>2444547317.0599999</v>
      </c>
      <c r="F101" s="51"/>
      <c r="G101" s="41"/>
      <c r="I101" s="43"/>
    </row>
    <row r="102" spans="1:9" s="42" customFormat="1" ht="16.5" x14ac:dyDescent="0.25">
      <c r="A102" s="38">
        <v>2011</v>
      </c>
      <c r="B102" s="39">
        <f t="shared" si="6"/>
        <v>769410935.77999997</v>
      </c>
      <c r="C102" s="39">
        <f t="shared" si="6"/>
        <v>32609756.100000001</v>
      </c>
      <c r="D102" s="39">
        <f t="shared" si="6"/>
        <v>36589585.210000001</v>
      </c>
      <c r="E102" s="39">
        <f t="shared" si="6"/>
        <v>3181348496.7399998</v>
      </c>
      <c r="F102" s="51"/>
      <c r="G102" s="41"/>
      <c r="I102" s="43"/>
    </row>
    <row r="103" spans="1:9" s="42" customFormat="1" ht="16.5" x14ac:dyDescent="0.25">
      <c r="A103" s="38">
        <v>2012</v>
      </c>
      <c r="B103" s="39">
        <f t="shared" ref="B103:E108" si="7">SUM(B13,B36,B57)</f>
        <v>738381000</v>
      </c>
      <c r="C103" s="39">
        <f t="shared" si="7"/>
        <v>65062137.039999999</v>
      </c>
      <c r="D103" s="39">
        <f t="shared" si="7"/>
        <v>47602558.540000007</v>
      </c>
      <c r="E103" s="39">
        <f t="shared" si="7"/>
        <v>3854667359.6999998</v>
      </c>
      <c r="F103" s="51"/>
      <c r="G103" s="41"/>
      <c r="I103" s="43"/>
    </row>
    <row r="104" spans="1:9" s="42" customFormat="1" ht="16.5" x14ac:dyDescent="0.25">
      <c r="A104" s="38">
        <v>2013</v>
      </c>
      <c r="B104" s="39">
        <f t="shared" si="7"/>
        <v>605368064.22000003</v>
      </c>
      <c r="C104" s="39">
        <f t="shared" si="7"/>
        <v>134109758.73999999</v>
      </c>
      <c r="D104" s="39">
        <f t="shared" si="7"/>
        <v>29871152.09</v>
      </c>
      <c r="E104" s="39">
        <f t="shared" si="7"/>
        <v>4325925665.1800003</v>
      </c>
      <c r="F104" s="51"/>
      <c r="G104" s="41"/>
      <c r="I104" s="43"/>
    </row>
    <row r="105" spans="1:9" s="42" customFormat="1" ht="16.5" x14ac:dyDescent="0.25">
      <c r="A105" s="38">
        <v>2014</v>
      </c>
      <c r="B105" s="39">
        <f t="shared" si="7"/>
        <v>0</v>
      </c>
      <c r="C105" s="39">
        <f t="shared" si="7"/>
        <v>176966904.25999999</v>
      </c>
      <c r="D105" s="39">
        <f t="shared" si="7"/>
        <v>25403751.719999999</v>
      </c>
      <c r="E105" s="39">
        <f t="shared" si="7"/>
        <v>4148958760.9200001</v>
      </c>
      <c r="F105" s="51"/>
      <c r="G105" s="41"/>
      <c r="I105" s="43"/>
    </row>
    <row r="106" spans="1:9" s="42" customFormat="1" ht="16.5" x14ac:dyDescent="0.25">
      <c r="A106" s="38">
        <v>2015</v>
      </c>
      <c r="B106" s="39">
        <f t="shared" si="7"/>
        <v>0</v>
      </c>
      <c r="C106" s="39">
        <f t="shared" si="7"/>
        <v>200776428.06</v>
      </c>
      <c r="D106" s="39">
        <f t="shared" si="7"/>
        <v>22260340.75</v>
      </c>
      <c r="E106" s="39">
        <f t="shared" si="7"/>
        <v>3948182332.8600001</v>
      </c>
      <c r="F106" s="51"/>
      <c r="G106" s="41"/>
      <c r="I106" s="43"/>
    </row>
    <row r="107" spans="1:9" s="42" customFormat="1" ht="16.5" x14ac:dyDescent="0.25">
      <c r="A107" s="38">
        <v>2016</v>
      </c>
      <c r="B107" s="39">
        <v>26000000</v>
      </c>
      <c r="C107" s="39">
        <f t="shared" si="7"/>
        <v>219030395.85999998</v>
      </c>
      <c r="D107" s="39">
        <f t="shared" si="7"/>
        <v>19421514.649999999</v>
      </c>
      <c r="E107" s="39">
        <v>3755151937</v>
      </c>
      <c r="F107" s="51"/>
      <c r="G107" s="41"/>
      <c r="I107" s="43"/>
    </row>
    <row r="108" spans="1:9" s="42" customFormat="1" ht="16.5" x14ac:dyDescent="0.25">
      <c r="A108" s="38">
        <v>2017</v>
      </c>
      <c r="B108" s="39">
        <v>183833282.94</v>
      </c>
      <c r="C108" s="39">
        <v>284712936.44</v>
      </c>
      <c r="D108" s="39">
        <f t="shared" si="7"/>
        <v>20384263.060000002</v>
      </c>
      <c r="E108" s="39">
        <v>3654272283.5</v>
      </c>
      <c r="F108" s="51"/>
      <c r="G108" s="41"/>
      <c r="I108" s="43"/>
    </row>
    <row r="109" spans="1:9" s="42" customFormat="1" ht="16.5" x14ac:dyDescent="0.25">
      <c r="A109" s="38">
        <v>2018</v>
      </c>
      <c r="B109" s="39">
        <v>976428813.42999995</v>
      </c>
      <c r="C109" s="39">
        <v>931920917.91999996</v>
      </c>
      <c r="D109" s="39">
        <f t="shared" ref="D109:D110" si="8">SUM(D19,D42,D63,D76)</f>
        <v>42294262.119999997</v>
      </c>
      <c r="E109" s="39">
        <v>3689780179.0100002</v>
      </c>
      <c r="F109" s="51"/>
      <c r="G109" s="41"/>
      <c r="I109" s="43"/>
    </row>
    <row r="110" spans="1:9" s="42" customFormat="1" ht="16.5" x14ac:dyDescent="0.25">
      <c r="A110" s="38">
        <v>2019</v>
      </c>
      <c r="B110" s="39">
        <v>477016914.25999999</v>
      </c>
      <c r="C110" s="39">
        <v>823690343.01999998</v>
      </c>
      <c r="D110" s="39">
        <f t="shared" si="8"/>
        <v>71997771.060000002</v>
      </c>
      <c r="E110" s="39">
        <v>3352106750.25</v>
      </c>
      <c r="F110" s="51"/>
      <c r="G110" s="41"/>
      <c r="I110" s="43"/>
    </row>
    <row r="111" spans="1:9" s="42" customFormat="1" ht="16.5" x14ac:dyDescent="0.25">
      <c r="A111" s="38">
        <v>2020</v>
      </c>
      <c r="B111" s="39">
        <v>1067840339.37</v>
      </c>
      <c r="C111" s="39">
        <v>1163958005.23</v>
      </c>
      <c r="D111" s="39">
        <f>SUM(D21,D44,D65,D78)</f>
        <v>44380500.450000003</v>
      </c>
      <c r="E111" s="39">
        <v>3255989084.3899999</v>
      </c>
      <c r="F111" s="51"/>
      <c r="G111" s="41"/>
      <c r="I111" s="43"/>
    </row>
    <row r="112" spans="1:9" s="42" customFormat="1" ht="16.5" x14ac:dyDescent="0.25">
      <c r="A112" s="38">
        <v>2021</v>
      </c>
      <c r="B112" s="39">
        <f t="shared" ref="B112:C114" si="9">SUM(B22,B45,B66,B79,B89)</f>
        <v>300000000</v>
      </c>
      <c r="C112" s="39">
        <v>897691616.33000004</v>
      </c>
      <c r="D112" s="39">
        <f t="shared" ref="D112:E114" si="10">SUM(D22,D45,D66,D79,D89)</f>
        <v>22591028.569999997</v>
      </c>
      <c r="E112" s="39">
        <f t="shared" si="10"/>
        <v>2658297468.0599995</v>
      </c>
      <c r="F112" s="51"/>
      <c r="G112" s="41"/>
      <c r="I112" s="43"/>
    </row>
    <row r="113" spans="1:9" s="42" customFormat="1" ht="16.5" x14ac:dyDescent="0.25">
      <c r="A113" s="38">
        <v>2022</v>
      </c>
      <c r="B113" s="39">
        <f t="shared" si="9"/>
        <v>500000000</v>
      </c>
      <c r="C113" s="39">
        <f t="shared" si="9"/>
        <v>481423856.63</v>
      </c>
      <c r="D113" s="39">
        <f t="shared" si="10"/>
        <v>147531155.71000001</v>
      </c>
      <c r="E113" s="39">
        <f t="shared" si="10"/>
        <v>2676873611.4299998</v>
      </c>
      <c r="F113" s="51"/>
      <c r="G113" s="41"/>
      <c r="I113" s="43"/>
    </row>
    <row r="114" spans="1:9" s="42" customFormat="1" ht="17.25" thickBot="1" x14ac:dyDescent="0.3">
      <c r="A114" s="38">
        <v>2023</v>
      </c>
      <c r="B114" s="39">
        <f t="shared" si="9"/>
        <v>285963833.41999996</v>
      </c>
      <c r="C114" s="39">
        <f t="shared" si="9"/>
        <v>600328667.06999993</v>
      </c>
      <c r="D114" s="39">
        <f t="shared" si="10"/>
        <v>183578536.14999998</v>
      </c>
      <c r="E114" s="39">
        <f t="shared" si="10"/>
        <v>2362508777.7800002</v>
      </c>
      <c r="F114" s="51"/>
      <c r="G114" s="41"/>
      <c r="I114" s="43"/>
    </row>
    <row r="115" spans="1:9" ht="17.25" customHeight="1" thickTop="1" x14ac:dyDescent="0.25">
      <c r="A115" s="52"/>
      <c r="B115" s="37"/>
      <c r="C115" s="37"/>
      <c r="D115" s="37"/>
      <c r="E115" s="37"/>
      <c r="F115" s="51"/>
    </row>
    <row r="116" spans="1:9" ht="18.75" thickBot="1" x14ac:dyDescent="0.3">
      <c r="A116" s="29" t="s">
        <v>18</v>
      </c>
      <c r="B116" s="30">
        <f>B25+B48+B69+B82+B92</f>
        <v>5785963833.4200001</v>
      </c>
      <c r="C116" s="30">
        <f>C25+C48+C69+C82+C92</f>
        <v>3423455055.6399999</v>
      </c>
      <c r="D116" s="30">
        <f>D25+D48+D69+D82+D92</f>
        <v>858100636.0999999</v>
      </c>
      <c r="E116" s="30">
        <f>E25+E48+E69+E82+E92</f>
        <v>2362508777.7800007</v>
      </c>
      <c r="F116" s="51"/>
    </row>
    <row r="117" spans="1:9" ht="13.5" thickTop="1" x14ac:dyDescent="0.2"/>
    <row r="118" spans="1:9" x14ac:dyDescent="0.2">
      <c r="B118" s="31"/>
      <c r="C118" s="31"/>
      <c r="D118" s="31"/>
    </row>
    <row r="119" spans="1:9" x14ac:dyDescent="0.2">
      <c r="C119" s="31"/>
      <c r="D119" s="31"/>
    </row>
    <row r="120" spans="1:9" x14ac:dyDescent="0.2">
      <c r="B120" s="48"/>
    </row>
  </sheetData>
  <mergeCells count="3">
    <mergeCell ref="A26:E26"/>
    <mergeCell ref="A1:E1"/>
    <mergeCell ref="A87:C87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8" firstPageNumber="42" orientation="portrait" useFirstPageNumber="1" r:id="rId1"/>
  <headerFooter scaleWithDoc="0" alignWithMargins="0">
    <oddFooter>&amp;L&amp;"Arial,Kurzíva"Zastupitelstvo Olomouckého kraje 17. 6. 2024
7.2. - Rozpočet Olomouckého kraje 2023 - závěrečný účet
Příloha č. 4 :Přehledy úvěrů a půjček&amp;R&amp;"Arial,Kurzíva"Strana &amp;P (celkem 291)</oddFooter>
  </headerFooter>
  <rowBreaks count="1" manualBreakCount="1">
    <brk id="71" max="3" man="1"/>
  </rowBreaks>
  <ignoredErrors>
    <ignoredError sqref="E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2024-05-21T07:29:14Z</cp:lastPrinted>
  <dcterms:created xsi:type="dcterms:W3CDTF">2007-04-30T12:48:03Z</dcterms:created>
  <dcterms:modified xsi:type="dcterms:W3CDTF">2024-05-27T11:58:16Z</dcterms:modified>
</cp:coreProperties>
</file>