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45" windowWidth="9600" windowHeight="11685" tabRatio="902" firstSheet="3"/>
  </bookViews>
  <sheets>
    <sheet name="Sumář celkem" sheetId="11" r:id="rId1"/>
    <sheet name="Celkem ORJ -10" sheetId="33" r:id="rId2"/>
    <sheet name="ORJ - 10 - Olomouc" sheetId="34" r:id="rId3"/>
    <sheet name="ORJ - 10 - Přerov" sheetId="35" r:id="rId4"/>
    <sheet name="ORJ - 10 - Jeseník" sheetId="36" r:id="rId5"/>
    <sheet name="ORJ - 10 - Šumperk" sheetId="38" r:id="rId6"/>
    <sheet name="ORJ - 10 - Prostějov" sheetId="37" r:id="rId7"/>
    <sheet name="Celkem ORJ - 11" sheetId="7" r:id="rId8"/>
    <sheet name="PO - sociálníci" sheetId="6" r:id="rId9"/>
    <sheet name="KS soc." sheetId="32" state="hidden" r:id="rId10"/>
    <sheet name="Celkem ORJ -12" sheetId="30" r:id="rId11"/>
    <sheet name="PO - doprava" sheetId="29" r:id="rId12"/>
    <sheet name="Celkem ORJ 13" sheetId="5" r:id="rId13"/>
    <sheet name="PO - kultura" sheetId="4" r:id="rId14"/>
    <sheet name="Celkem ORJ - 14" sheetId="8" r:id="rId15"/>
    <sheet name="PO - zdravotnictví" sheetId="10" r:id="rId16"/>
    <sheet name="Souhrn" sheetId="20" state="hidden" r:id="rId17"/>
    <sheet name="Rekapitulace 2015" sheetId="39" state="hidden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Print_Titles" localSheetId="4">'ORJ - 10 - Jeseník'!$11:$14</definedName>
    <definedName name="_xlnm.Print_Titles" localSheetId="2">'ORJ - 10 - Olomouc'!$2:$15</definedName>
    <definedName name="_xlnm.Print_Titles" localSheetId="6">'ORJ - 10 - Prostějov'!$11:$15</definedName>
    <definedName name="_xlnm.Print_Titles" localSheetId="3">'ORJ - 10 - Přerov'!$11:$14</definedName>
    <definedName name="_xlnm.Print_Titles" localSheetId="5">'ORJ - 10 - Šumperk'!$11:$15</definedName>
    <definedName name="_xlnm.Print_Area" localSheetId="14">'Celkem ORJ - 14'!$A$1:$J$34</definedName>
    <definedName name="_xlnm.Print_Area" localSheetId="10">'Celkem ORJ -12'!$A$1:$G$34</definedName>
    <definedName name="_xlnm.Print_Area" localSheetId="4">'ORJ - 10 - Jeseník'!$A$1:$U$54</definedName>
    <definedName name="_xlnm.Print_Area" localSheetId="6">'ORJ - 10 - Prostějov'!$A$1:$Y$61</definedName>
    <definedName name="_xlnm.Print_Area" localSheetId="5">'ORJ - 10 - Šumperk'!$A$1:$Y$100</definedName>
  </definedNames>
  <calcPr calcId="145621"/>
</workbook>
</file>

<file path=xl/calcChain.xml><?xml version="1.0" encoding="utf-8"?>
<calcChain xmlns="http://schemas.openxmlformats.org/spreadsheetml/2006/main">
  <c r="Q62" i="37" l="1"/>
  <c r="Q101" i="38"/>
  <c r="O55" i="36"/>
  <c r="M104" i="35"/>
  <c r="P149" i="34"/>
  <c r="F39" i="11" l="1"/>
  <c r="F40" i="11"/>
  <c r="G21" i="8"/>
  <c r="F21" i="8"/>
  <c r="F17" i="8"/>
  <c r="G17" i="8"/>
  <c r="F10" i="8"/>
  <c r="G10" i="8"/>
  <c r="F71" i="11" l="1"/>
  <c r="F70" i="11"/>
  <c r="F68" i="11"/>
  <c r="G67" i="11"/>
  <c r="F67" i="11"/>
  <c r="G64" i="11"/>
  <c r="F64" i="11"/>
  <c r="F63" i="11"/>
  <c r="F62" i="11"/>
  <c r="F60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G39" i="11"/>
  <c r="G38" i="11"/>
  <c r="F38" i="11"/>
  <c r="G37" i="11"/>
  <c r="F37" i="11"/>
  <c r="F36" i="11"/>
  <c r="F35" i="11"/>
  <c r="F34" i="11"/>
  <c r="G33" i="11"/>
  <c r="F33" i="11"/>
  <c r="G32" i="11"/>
  <c r="F32" i="11"/>
  <c r="G31" i="11"/>
  <c r="F31" i="11"/>
  <c r="G30" i="11"/>
  <c r="F30" i="11"/>
  <c r="G29" i="11"/>
  <c r="F29" i="11"/>
  <c r="F28" i="11"/>
  <c r="F27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9" i="11"/>
  <c r="F19" i="11"/>
  <c r="F18" i="11"/>
  <c r="G17" i="11"/>
  <c r="F17" i="11"/>
  <c r="G16" i="11"/>
  <c r="F16" i="11"/>
  <c r="G19" i="8"/>
  <c r="F19" i="8"/>
  <c r="G18" i="8"/>
  <c r="F18" i="8"/>
  <c r="G16" i="8"/>
  <c r="F16" i="8"/>
  <c r="G15" i="8"/>
  <c r="F15" i="8"/>
  <c r="G14" i="8"/>
  <c r="F14" i="8"/>
  <c r="G13" i="8"/>
  <c r="F13" i="8"/>
  <c r="G12" i="8"/>
  <c r="F12" i="8"/>
  <c r="G23" i="5"/>
  <c r="F23" i="5"/>
  <c r="G19" i="30"/>
  <c r="F19" i="30"/>
  <c r="F16" i="30"/>
  <c r="F17" i="30"/>
  <c r="F15" i="30"/>
  <c r="G13" i="30"/>
  <c r="F13" i="30"/>
  <c r="G12" i="30"/>
  <c r="F12" i="30"/>
  <c r="G11" i="30"/>
  <c r="F11" i="30"/>
  <c r="G10" i="30"/>
  <c r="F10" i="30"/>
  <c r="G16" i="7"/>
  <c r="F16" i="7"/>
  <c r="G15" i="7"/>
  <c r="F15" i="7"/>
  <c r="G14" i="7"/>
  <c r="F14" i="7"/>
  <c r="F13" i="7"/>
  <c r="G12" i="7"/>
  <c r="F12" i="7"/>
  <c r="G10" i="7"/>
  <c r="F10" i="7"/>
  <c r="P13" i="6"/>
  <c r="Q14" i="6"/>
  <c r="P14" i="6" s="1"/>
  <c r="T14" i="6"/>
  <c r="Q15" i="6"/>
  <c r="P15" i="6" s="1"/>
  <c r="T15" i="6"/>
  <c r="Q16" i="6"/>
  <c r="P16" i="6" s="1"/>
  <c r="T16" i="6"/>
  <c r="Q17" i="6"/>
  <c r="P17" i="6" s="1"/>
  <c r="T17" i="6"/>
  <c r="Q18" i="6"/>
  <c r="P18" i="6" s="1"/>
  <c r="T18" i="6"/>
  <c r="Q19" i="6"/>
  <c r="P19" i="6" s="1"/>
  <c r="T19" i="6"/>
  <c r="T20" i="6"/>
  <c r="P20" i="6" s="1"/>
  <c r="Q21" i="6"/>
  <c r="P21" i="6" s="1"/>
  <c r="T21" i="6"/>
  <c r="Q22" i="6"/>
  <c r="P22" i="6" s="1"/>
  <c r="T22" i="6"/>
  <c r="Q23" i="6"/>
  <c r="P23" i="6" s="1"/>
  <c r="T23" i="6"/>
  <c r="Q24" i="6"/>
  <c r="P24" i="6" s="1"/>
  <c r="T24" i="6"/>
  <c r="Q25" i="6"/>
  <c r="P25" i="6" s="1"/>
  <c r="T25" i="6"/>
  <c r="Q26" i="6"/>
  <c r="P26" i="6" s="1"/>
  <c r="T26" i="6"/>
  <c r="Q27" i="6"/>
  <c r="P27" i="6" s="1"/>
  <c r="T27" i="6"/>
  <c r="Q28" i="6"/>
  <c r="P28" i="6" s="1"/>
  <c r="T28" i="6"/>
  <c r="Q29" i="6"/>
  <c r="P29" i="6" s="1"/>
  <c r="T29" i="6"/>
  <c r="Q30" i="6"/>
  <c r="P30" i="6" s="1"/>
  <c r="T30" i="6"/>
  <c r="Q31" i="6"/>
  <c r="P31" i="6" s="1"/>
  <c r="T31" i="6"/>
  <c r="Q32" i="6"/>
  <c r="P32" i="6" s="1"/>
  <c r="T32" i="6"/>
  <c r="Q33" i="6"/>
  <c r="P33" i="6" s="1"/>
  <c r="T33" i="6"/>
  <c r="Q34" i="6"/>
  <c r="P34" i="6" s="1"/>
  <c r="T34" i="6"/>
  <c r="Q35" i="6"/>
  <c r="P35" i="6" s="1"/>
  <c r="T35" i="6"/>
  <c r="Q36" i="6"/>
  <c r="P36" i="6" s="1"/>
  <c r="T36" i="6"/>
  <c r="Q37" i="6"/>
  <c r="P37" i="6" s="1"/>
  <c r="T37" i="6"/>
  <c r="Q38" i="6"/>
  <c r="P38" i="6" s="1"/>
  <c r="T38" i="6"/>
  <c r="Q39" i="6"/>
  <c r="P39" i="6" s="1"/>
  <c r="T39" i="6"/>
  <c r="Q40" i="6"/>
  <c r="P40" i="6" s="1"/>
  <c r="T40" i="6"/>
  <c r="Q41" i="6"/>
  <c r="P41" i="6" s="1"/>
  <c r="T41" i="6"/>
  <c r="Q42" i="6"/>
  <c r="P42" i="6" s="1"/>
  <c r="T42" i="6"/>
  <c r="Q43" i="6"/>
  <c r="P43" i="6" s="1"/>
  <c r="T43" i="6"/>
  <c r="Q44" i="6"/>
  <c r="P44" i="6" s="1"/>
  <c r="T44" i="6"/>
  <c r="Q45" i="6"/>
  <c r="P45" i="6" s="1"/>
  <c r="T45" i="6"/>
  <c r="Q46" i="6"/>
  <c r="R46" i="6"/>
  <c r="S46" i="6"/>
  <c r="T46" i="6"/>
  <c r="P46" i="6" l="1"/>
  <c r="T16" i="4" l="1"/>
  <c r="AH18" i="10" l="1"/>
  <c r="AH20" i="10"/>
  <c r="Y14" i="4"/>
  <c r="M18" i="35" l="1"/>
  <c r="T75" i="38" l="1"/>
  <c r="T18" i="36" l="1"/>
  <c r="U18" i="36"/>
  <c r="V18" i="36"/>
  <c r="W18" i="36"/>
  <c r="U19" i="36"/>
  <c r="V19" i="36"/>
  <c r="W19" i="36"/>
  <c r="U21" i="36"/>
  <c r="V21" i="36"/>
  <c r="W21" i="36"/>
  <c r="U23" i="36"/>
  <c r="V23" i="36"/>
  <c r="W23" i="36"/>
  <c r="T24" i="36"/>
  <c r="U24" i="36"/>
  <c r="V24" i="36"/>
  <c r="W24" i="36"/>
  <c r="T26" i="36"/>
  <c r="U26" i="36"/>
  <c r="V26" i="36"/>
  <c r="W26" i="36"/>
  <c r="T27" i="36"/>
  <c r="U27" i="36"/>
  <c r="V27" i="36"/>
  <c r="W27" i="36"/>
  <c r="T28" i="36"/>
  <c r="U28" i="36"/>
  <c r="V28" i="36"/>
  <c r="W28" i="36"/>
  <c r="T29" i="36"/>
  <c r="U29" i="36"/>
  <c r="V29" i="36"/>
  <c r="W29" i="36"/>
  <c r="S29" i="36" s="1"/>
  <c r="T31" i="36"/>
  <c r="U31" i="36"/>
  <c r="V31" i="36"/>
  <c r="W31" i="36"/>
  <c r="T32" i="36"/>
  <c r="U32" i="36"/>
  <c r="V32" i="36"/>
  <c r="W32" i="36"/>
  <c r="U34" i="36"/>
  <c r="V34" i="36"/>
  <c r="W34" i="36"/>
  <c r="T35" i="36"/>
  <c r="U35" i="36"/>
  <c r="V35" i="36"/>
  <c r="W35" i="36"/>
  <c r="T36" i="36"/>
  <c r="U36" i="36"/>
  <c r="V36" i="36"/>
  <c r="W36" i="36"/>
  <c r="U38" i="36"/>
  <c r="V38" i="36"/>
  <c r="W38" i="36"/>
  <c r="T39" i="36"/>
  <c r="U39" i="36"/>
  <c r="V39" i="36"/>
  <c r="W39" i="36"/>
  <c r="T40" i="36"/>
  <c r="U40" i="36"/>
  <c r="V40" i="36"/>
  <c r="W40" i="36"/>
  <c r="T42" i="36"/>
  <c r="U42" i="36"/>
  <c r="V42" i="36"/>
  <c r="W42" i="36"/>
  <c r="T43" i="36"/>
  <c r="U43" i="36"/>
  <c r="V43" i="36"/>
  <c r="W43" i="36"/>
  <c r="T44" i="36"/>
  <c r="U44" i="36"/>
  <c r="V44" i="36"/>
  <c r="W44" i="36"/>
  <c r="U46" i="36"/>
  <c r="V46" i="36"/>
  <c r="W46" i="36"/>
  <c r="T48" i="36"/>
  <c r="U48" i="36"/>
  <c r="V48" i="36"/>
  <c r="W48" i="36"/>
  <c r="T50" i="36"/>
  <c r="U50" i="36"/>
  <c r="V50" i="36"/>
  <c r="W50" i="36"/>
  <c r="T52" i="36"/>
  <c r="U52" i="36"/>
  <c r="V52" i="36"/>
  <c r="W52" i="36"/>
  <c r="U16" i="36"/>
  <c r="V16" i="36"/>
  <c r="W16" i="36"/>
  <c r="T16" i="36"/>
  <c r="S16" i="36" l="1"/>
  <c r="S52" i="36"/>
  <c r="S48" i="36"/>
  <c r="S44" i="36"/>
  <c r="S43" i="36"/>
  <c r="S40" i="36"/>
  <c r="S39" i="36"/>
  <c r="S36" i="36"/>
  <c r="S35" i="36"/>
  <c r="S32" i="36"/>
  <c r="S31" i="36"/>
  <c r="S28" i="36"/>
  <c r="S27" i="36"/>
  <c r="S24" i="36"/>
  <c r="S50" i="36"/>
  <c r="S42" i="36"/>
  <c r="S26" i="36"/>
  <c r="S18" i="36"/>
  <c r="P17" i="37" l="1"/>
  <c r="P18" i="37"/>
  <c r="P19" i="37"/>
  <c r="P20" i="37"/>
  <c r="P21" i="37"/>
  <c r="P23" i="37"/>
  <c r="P24" i="37"/>
  <c r="P25" i="37"/>
  <c r="P26" i="37"/>
  <c r="P27" i="37"/>
  <c r="P28" i="37"/>
  <c r="P30" i="37"/>
  <c r="P32" i="37"/>
  <c r="P33" i="37"/>
  <c r="P34" i="37"/>
  <c r="P36" i="37"/>
  <c r="P37" i="37"/>
  <c r="P38" i="37"/>
  <c r="P40" i="37"/>
  <c r="P41" i="37"/>
  <c r="P42" i="37"/>
  <c r="P43" i="37"/>
  <c r="P44" i="37"/>
  <c r="P46" i="37"/>
  <c r="P47" i="37"/>
  <c r="P48" i="37"/>
  <c r="P50" i="37"/>
  <c r="P51" i="37"/>
  <c r="P53" i="37"/>
  <c r="P55" i="37"/>
  <c r="P57" i="37"/>
  <c r="P59" i="37"/>
  <c r="P16" i="37"/>
  <c r="K17" i="37"/>
  <c r="K18" i="37"/>
  <c r="K19" i="37"/>
  <c r="K20" i="37"/>
  <c r="K21" i="37"/>
  <c r="K23" i="37"/>
  <c r="K24" i="37"/>
  <c r="K25" i="37"/>
  <c r="K26" i="37"/>
  <c r="K27" i="37"/>
  <c r="K28" i="37"/>
  <c r="K30" i="37"/>
  <c r="K32" i="37"/>
  <c r="K33" i="37"/>
  <c r="K34" i="37"/>
  <c r="K36" i="37"/>
  <c r="K37" i="37"/>
  <c r="K38" i="37"/>
  <c r="K40" i="37"/>
  <c r="K41" i="37"/>
  <c r="K42" i="37"/>
  <c r="K43" i="37"/>
  <c r="K44" i="37"/>
  <c r="K46" i="37"/>
  <c r="K47" i="37"/>
  <c r="K48" i="37"/>
  <c r="K50" i="37"/>
  <c r="K51" i="37"/>
  <c r="K53" i="37"/>
  <c r="K55" i="37"/>
  <c r="K57" i="37"/>
  <c r="K59" i="37"/>
  <c r="K16" i="37"/>
  <c r="P18" i="38"/>
  <c r="P19" i="38"/>
  <c r="P21" i="38"/>
  <c r="P22" i="38"/>
  <c r="P23" i="38"/>
  <c r="P24" i="38"/>
  <c r="P25" i="38"/>
  <c r="P27" i="38"/>
  <c r="P28" i="38"/>
  <c r="P29" i="38"/>
  <c r="P30" i="38"/>
  <c r="P31" i="38"/>
  <c r="P32" i="38"/>
  <c r="P34" i="38"/>
  <c r="P35" i="38"/>
  <c r="P36" i="38"/>
  <c r="P37" i="38"/>
  <c r="P41" i="38"/>
  <c r="P43" i="38"/>
  <c r="P44" i="38"/>
  <c r="P46" i="38"/>
  <c r="P47" i="38"/>
  <c r="P48" i="38"/>
  <c r="P49" i="38"/>
  <c r="P51" i="38"/>
  <c r="P53" i="38"/>
  <c r="P54" i="38"/>
  <c r="P55" i="38"/>
  <c r="P59" i="38"/>
  <c r="P60" i="38"/>
  <c r="P61" i="38"/>
  <c r="P63" i="38"/>
  <c r="P67" i="38"/>
  <c r="P68" i="38"/>
  <c r="P70" i="38"/>
  <c r="P72" i="38"/>
  <c r="P73" i="38"/>
  <c r="P74" i="38"/>
  <c r="P76" i="38"/>
  <c r="P77" i="38"/>
  <c r="P78" i="38"/>
  <c r="P80" i="38"/>
  <c r="P81" i="38"/>
  <c r="P82" i="38"/>
  <c r="P86" i="38"/>
  <c r="P87" i="38"/>
  <c r="P88" i="38"/>
  <c r="P89" i="38"/>
  <c r="P90" i="38"/>
  <c r="P92" i="38"/>
  <c r="P98" i="38"/>
  <c r="K18" i="38"/>
  <c r="K19" i="38"/>
  <c r="K21" i="38"/>
  <c r="K22" i="38"/>
  <c r="K23" i="38"/>
  <c r="K24" i="38"/>
  <c r="K25" i="38"/>
  <c r="K27" i="38"/>
  <c r="K28" i="38"/>
  <c r="K29" i="38"/>
  <c r="K30" i="38"/>
  <c r="K31" i="38"/>
  <c r="K32" i="38"/>
  <c r="K34" i="38"/>
  <c r="K35" i="38"/>
  <c r="K36" i="38"/>
  <c r="K37" i="38"/>
  <c r="K38" i="38"/>
  <c r="K40" i="38"/>
  <c r="K41" i="38"/>
  <c r="K43" i="38"/>
  <c r="K44" i="38"/>
  <c r="K46" i="38"/>
  <c r="K47" i="38"/>
  <c r="K48" i="38"/>
  <c r="K49" i="38"/>
  <c r="K51" i="38"/>
  <c r="K52" i="38"/>
  <c r="K53" i="38"/>
  <c r="K54" i="38"/>
  <c r="K55" i="38"/>
  <c r="K57" i="38"/>
  <c r="K59" i="38"/>
  <c r="K60" i="38"/>
  <c r="K61" i="38"/>
  <c r="K63" i="38"/>
  <c r="K66" i="38"/>
  <c r="K67" i="38"/>
  <c r="K68" i="38"/>
  <c r="K70" i="38"/>
  <c r="K72" i="38"/>
  <c r="K73" i="38"/>
  <c r="K74" i="38"/>
  <c r="K76" i="38"/>
  <c r="K77" i="38"/>
  <c r="K78" i="38"/>
  <c r="K80" i="38"/>
  <c r="K81" i="38"/>
  <c r="K82" i="38"/>
  <c r="K84" i="38"/>
  <c r="K86" i="38"/>
  <c r="K87" i="38"/>
  <c r="K88" i="38"/>
  <c r="K89" i="38"/>
  <c r="K90" i="38"/>
  <c r="K92" i="38"/>
  <c r="K94" i="38"/>
  <c r="K96" i="38"/>
  <c r="K98" i="38"/>
  <c r="K16" i="38"/>
  <c r="N18" i="36" l="1"/>
  <c r="N24" i="36"/>
  <c r="N26" i="36"/>
  <c r="N27" i="36"/>
  <c r="N28" i="36"/>
  <c r="N29" i="36"/>
  <c r="N31" i="36"/>
  <c r="N32" i="36"/>
  <c r="N35" i="36"/>
  <c r="N36" i="36"/>
  <c r="N39" i="36"/>
  <c r="N40" i="36"/>
  <c r="N42" i="36"/>
  <c r="N43" i="36"/>
  <c r="N44" i="36"/>
  <c r="N48" i="36"/>
  <c r="N50" i="36"/>
  <c r="N52" i="36"/>
  <c r="N16" i="36"/>
  <c r="I18" i="36"/>
  <c r="I19" i="36"/>
  <c r="I21" i="36"/>
  <c r="I23" i="36"/>
  <c r="I24" i="36"/>
  <c r="I26" i="36"/>
  <c r="I27" i="36"/>
  <c r="I28" i="36"/>
  <c r="I29" i="36"/>
  <c r="I31" i="36"/>
  <c r="I32" i="36"/>
  <c r="I34" i="36"/>
  <c r="I35" i="36"/>
  <c r="I36" i="36"/>
  <c r="I39" i="36"/>
  <c r="I40" i="36"/>
  <c r="I43" i="36"/>
  <c r="I44" i="36"/>
  <c r="I46" i="36"/>
  <c r="I48" i="36"/>
  <c r="I50" i="36"/>
  <c r="I52" i="36"/>
  <c r="I16" i="36"/>
  <c r="M20" i="35"/>
  <c r="M21" i="35"/>
  <c r="M23" i="35"/>
  <c r="M24" i="35"/>
  <c r="M29" i="35"/>
  <c r="M31" i="35"/>
  <c r="M32" i="35"/>
  <c r="M35" i="35"/>
  <c r="M37" i="35"/>
  <c r="M38" i="35"/>
  <c r="M39" i="35"/>
  <c r="M40" i="35"/>
  <c r="M42" i="35"/>
  <c r="M44" i="35"/>
  <c r="M45" i="35"/>
  <c r="M47" i="35"/>
  <c r="M50" i="35"/>
  <c r="M51" i="35"/>
  <c r="M52" i="35"/>
  <c r="M54" i="35"/>
  <c r="M55" i="35"/>
  <c r="M56" i="35"/>
  <c r="M58" i="35"/>
  <c r="M59" i="35"/>
  <c r="M60" i="35"/>
  <c r="M61" i="35"/>
  <c r="M65" i="35"/>
  <c r="M67" i="35"/>
  <c r="M69" i="35"/>
  <c r="M70" i="35"/>
  <c r="M72" i="35"/>
  <c r="M73" i="35"/>
  <c r="M74" i="35"/>
  <c r="M75" i="35"/>
  <c r="M78" i="35"/>
  <c r="M79" i="35"/>
  <c r="M82" i="35"/>
  <c r="M83" i="35"/>
  <c r="M85" i="35"/>
  <c r="M87" i="35"/>
  <c r="M89" i="35"/>
  <c r="M95" i="35"/>
  <c r="H18" i="35"/>
  <c r="H19" i="35"/>
  <c r="H20" i="35"/>
  <c r="H21" i="35"/>
  <c r="H23" i="35"/>
  <c r="H24" i="35"/>
  <c r="H26" i="35"/>
  <c r="H28" i="35"/>
  <c r="H29" i="35"/>
  <c r="H31" i="35"/>
  <c r="H32" i="35"/>
  <c r="H34" i="35"/>
  <c r="H35" i="35"/>
  <c r="H37" i="35"/>
  <c r="H39" i="35"/>
  <c r="H40" i="35"/>
  <c r="H42" i="35"/>
  <c r="H44" i="35"/>
  <c r="H45" i="35"/>
  <c r="H47" i="35"/>
  <c r="H49" i="35"/>
  <c r="H50" i="35"/>
  <c r="H51" i="35"/>
  <c r="H52" i="35"/>
  <c r="H54" i="35"/>
  <c r="H55" i="35"/>
  <c r="H56" i="35"/>
  <c r="H59" i="35"/>
  <c r="H60" i="35"/>
  <c r="H61" i="35"/>
  <c r="H63" i="35"/>
  <c r="H65" i="35"/>
  <c r="H67" i="35"/>
  <c r="H68" i="35"/>
  <c r="H69" i="35"/>
  <c r="H70" i="35"/>
  <c r="H72" i="35"/>
  <c r="H74" i="35"/>
  <c r="H75" i="35"/>
  <c r="H77" i="35"/>
  <c r="H78" i="35"/>
  <c r="H79" i="35"/>
  <c r="H81" i="35"/>
  <c r="H82" i="35"/>
  <c r="H83" i="35"/>
  <c r="H85" i="35"/>
  <c r="H87" i="35"/>
  <c r="H89" i="35"/>
  <c r="H91" i="35"/>
  <c r="H93" i="35"/>
  <c r="H94" i="35"/>
  <c r="H95" i="35"/>
  <c r="H97" i="35"/>
  <c r="H99" i="35"/>
  <c r="H101" i="35"/>
  <c r="H16" i="35"/>
  <c r="N16" i="35"/>
  <c r="M16" i="35" s="1"/>
  <c r="T16" i="35"/>
  <c r="U16" i="35"/>
  <c r="V16" i="35"/>
  <c r="I17" i="35"/>
  <c r="J17" i="35"/>
  <c r="K17" i="35"/>
  <c r="L17" i="35"/>
  <c r="O17" i="35"/>
  <c r="P17" i="35"/>
  <c r="Q17" i="35"/>
  <c r="S18" i="35"/>
  <c r="T18" i="35"/>
  <c r="U18" i="35"/>
  <c r="V18" i="35"/>
  <c r="N19" i="35"/>
  <c r="M19" i="35" s="1"/>
  <c r="T19" i="35"/>
  <c r="U19" i="35"/>
  <c r="V19" i="35"/>
  <c r="S20" i="35"/>
  <c r="T20" i="35"/>
  <c r="U20" i="35"/>
  <c r="V20" i="35"/>
  <c r="S21" i="35"/>
  <c r="T21" i="35"/>
  <c r="U21" i="35"/>
  <c r="V21" i="35"/>
  <c r="I22" i="35"/>
  <c r="J22" i="35"/>
  <c r="K22" i="35"/>
  <c r="L22" i="35"/>
  <c r="O22" i="35"/>
  <c r="P22" i="35"/>
  <c r="Q22" i="35"/>
  <c r="S23" i="35"/>
  <c r="T23" i="35"/>
  <c r="U23" i="35"/>
  <c r="V23" i="35"/>
  <c r="S24" i="35"/>
  <c r="T24" i="35"/>
  <c r="U24" i="35"/>
  <c r="V24" i="35"/>
  <c r="I25" i="35"/>
  <c r="J25" i="35"/>
  <c r="K25" i="35"/>
  <c r="L25" i="35"/>
  <c r="N25" i="35"/>
  <c r="O25" i="35"/>
  <c r="P25" i="35"/>
  <c r="Q25" i="35"/>
  <c r="N26" i="35"/>
  <c r="M26" i="35" s="1"/>
  <c r="T26" i="35"/>
  <c r="U26" i="35"/>
  <c r="V26" i="35"/>
  <c r="I27" i="35"/>
  <c r="J27" i="35"/>
  <c r="K27" i="35"/>
  <c r="L27" i="35"/>
  <c r="O27" i="35"/>
  <c r="P27" i="35"/>
  <c r="Q27" i="35"/>
  <c r="N28" i="35"/>
  <c r="M28" i="35" s="1"/>
  <c r="T28" i="35"/>
  <c r="U28" i="35"/>
  <c r="V28" i="35"/>
  <c r="S29" i="35"/>
  <c r="T29" i="35"/>
  <c r="U29" i="35"/>
  <c r="V29" i="35"/>
  <c r="I30" i="35"/>
  <c r="J30" i="35"/>
  <c r="K30" i="35"/>
  <c r="L30" i="35"/>
  <c r="O30" i="35"/>
  <c r="P30" i="35"/>
  <c r="Q30" i="35"/>
  <c r="S31" i="35"/>
  <c r="T31" i="35"/>
  <c r="U31" i="35"/>
  <c r="V31" i="35"/>
  <c r="S32" i="35"/>
  <c r="T32" i="35"/>
  <c r="U32" i="35"/>
  <c r="V32" i="35"/>
  <c r="I33" i="35"/>
  <c r="J33" i="35"/>
  <c r="K33" i="35"/>
  <c r="L33" i="35"/>
  <c r="N33" i="35"/>
  <c r="O33" i="35"/>
  <c r="P33" i="35"/>
  <c r="Q33" i="35"/>
  <c r="N34" i="35"/>
  <c r="T34" i="35"/>
  <c r="U34" i="35"/>
  <c r="V34" i="35"/>
  <c r="S35" i="35"/>
  <c r="T35" i="35"/>
  <c r="U35" i="35"/>
  <c r="V35" i="35"/>
  <c r="I36" i="35"/>
  <c r="J36" i="35"/>
  <c r="K36" i="35"/>
  <c r="L36" i="35"/>
  <c r="O36" i="35"/>
  <c r="P36" i="35"/>
  <c r="Q36" i="35"/>
  <c r="S37" i="35"/>
  <c r="T37" i="35"/>
  <c r="U37" i="35"/>
  <c r="V37" i="35"/>
  <c r="L38" i="35"/>
  <c r="L41" i="35" s="1"/>
  <c r="S38" i="35"/>
  <c r="T38" i="35"/>
  <c r="U38" i="35"/>
  <c r="V38" i="35"/>
  <c r="S39" i="35"/>
  <c r="T39" i="35"/>
  <c r="U39" i="35"/>
  <c r="V39" i="35"/>
  <c r="S40" i="35"/>
  <c r="T40" i="35"/>
  <c r="U40" i="35"/>
  <c r="V40" i="35"/>
  <c r="I41" i="35"/>
  <c r="J41" i="35"/>
  <c r="K41" i="35"/>
  <c r="N41" i="35"/>
  <c r="O41" i="35"/>
  <c r="P41" i="35"/>
  <c r="Q41" i="35"/>
  <c r="S42" i="35"/>
  <c r="T42" i="35"/>
  <c r="U42" i="35"/>
  <c r="V42" i="35"/>
  <c r="I43" i="35"/>
  <c r="J43" i="35"/>
  <c r="K43" i="35"/>
  <c r="L43" i="35"/>
  <c r="N43" i="35"/>
  <c r="O43" i="35"/>
  <c r="P43" i="35"/>
  <c r="Q43" i="35"/>
  <c r="S44" i="35"/>
  <c r="T44" i="35"/>
  <c r="U44" i="35"/>
  <c r="V44" i="35"/>
  <c r="S45" i="35"/>
  <c r="T45" i="35"/>
  <c r="U45" i="35"/>
  <c r="V45" i="35"/>
  <c r="I46" i="35"/>
  <c r="J46" i="35"/>
  <c r="K46" i="35"/>
  <c r="L46" i="35"/>
  <c r="N46" i="35"/>
  <c r="O46" i="35"/>
  <c r="P46" i="35"/>
  <c r="Q46" i="35"/>
  <c r="S47" i="35"/>
  <c r="T47" i="35"/>
  <c r="U47" i="35"/>
  <c r="V47" i="35"/>
  <c r="I48" i="35"/>
  <c r="J48" i="35"/>
  <c r="K48" i="35"/>
  <c r="L48" i="35"/>
  <c r="N48" i="35"/>
  <c r="O48" i="35"/>
  <c r="P48" i="35"/>
  <c r="Q48" i="35"/>
  <c r="N49" i="35"/>
  <c r="M49" i="35" s="1"/>
  <c r="T49" i="35"/>
  <c r="U49" i="35"/>
  <c r="V49" i="35"/>
  <c r="S50" i="35"/>
  <c r="T50" i="35"/>
  <c r="U50" i="35"/>
  <c r="V50" i="35"/>
  <c r="S51" i="35"/>
  <c r="T51" i="35"/>
  <c r="U51" i="35"/>
  <c r="V51" i="35"/>
  <c r="S52" i="35"/>
  <c r="T52" i="35"/>
  <c r="U52" i="35"/>
  <c r="V52" i="35"/>
  <c r="I53" i="35"/>
  <c r="J53" i="35"/>
  <c r="K53" i="35"/>
  <c r="L53" i="35"/>
  <c r="O53" i="35"/>
  <c r="P53" i="35"/>
  <c r="Q53" i="35"/>
  <c r="S54" i="35"/>
  <c r="T54" i="35"/>
  <c r="U54" i="35"/>
  <c r="V54" i="35"/>
  <c r="S55" i="35"/>
  <c r="T55" i="35"/>
  <c r="U55" i="35"/>
  <c r="V55" i="35"/>
  <c r="S56" i="35"/>
  <c r="T56" i="35"/>
  <c r="U56" i="35"/>
  <c r="V56" i="35"/>
  <c r="I57" i="35"/>
  <c r="J57" i="35"/>
  <c r="K57" i="35"/>
  <c r="L57" i="35"/>
  <c r="N57" i="35"/>
  <c r="O57" i="35"/>
  <c r="P57" i="35"/>
  <c r="Q57" i="35"/>
  <c r="I58" i="35"/>
  <c r="J58" i="35"/>
  <c r="J62" i="35" s="1"/>
  <c r="S58" i="35"/>
  <c r="T58" i="35"/>
  <c r="U58" i="35"/>
  <c r="V58" i="35"/>
  <c r="S59" i="35"/>
  <c r="T59" i="35"/>
  <c r="U59" i="35"/>
  <c r="V59" i="35"/>
  <c r="S60" i="35"/>
  <c r="T60" i="35"/>
  <c r="U60" i="35"/>
  <c r="V60" i="35"/>
  <c r="S61" i="35"/>
  <c r="T61" i="35"/>
  <c r="U61" i="35"/>
  <c r="V61" i="35"/>
  <c r="K62" i="35"/>
  <c r="L62" i="35"/>
  <c r="N62" i="35"/>
  <c r="O62" i="35"/>
  <c r="P62" i="35"/>
  <c r="Q62" i="35"/>
  <c r="N63" i="35"/>
  <c r="T63" i="35"/>
  <c r="U63" i="35"/>
  <c r="V63" i="35"/>
  <c r="I64" i="35"/>
  <c r="J64" i="35"/>
  <c r="K64" i="35"/>
  <c r="L64" i="35"/>
  <c r="O64" i="35"/>
  <c r="P64" i="35"/>
  <c r="Q64" i="35"/>
  <c r="S65" i="35"/>
  <c r="T65" i="35"/>
  <c r="U65" i="35"/>
  <c r="V65" i="35"/>
  <c r="I66" i="35"/>
  <c r="J66" i="35"/>
  <c r="K66" i="35"/>
  <c r="L66" i="35"/>
  <c r="N66" i="35"/>
  <c r="O66" i="35"/>
  <c r="P66" i="35"/>
  <c r="Q66" i="35"/>
  <c r="S67" i="35"/>
  <c r="T67" i="35"/>
  <c r="U67" i="35"/>
  <c r="V67" i="35"/>
  <c r="N68" i="35"/>
  <c r="M68" i="35" s="1"/>
  <c r="T68" i="35"/>
  <c r="U68" i="35"/>
  <c r="V68" i="35"/>
  <c r="S69" i="35"/>
  <c r="T69" i="35"/>
  <c r="U69" i="35"/>
  <c r="V69" i="35"/>
  <c r="S70" i="35"/>
  <c r="T70" i="35"/>
  <c r="U70" i="35"/>
  <c r="V70" i="35"/>
  <c r="I71" i="35"/>
  <c r="J71" i="35"/>
  <c r="K71" i="35"/>
  <c r="L71" i="35"/>
  <c r="O71" i="35"/>
  <c r="P71" i="35"/>
  <c r="Q71" i="35"/>
  <c r="S72" i="35"/>
  <c r="T72" i="35"/>
  <c r="U72" i="35"/>
  <c r="V72" i="35"/>
  <c r="I73" i="35"/>
  <c r="J73" i="35"/>
  <c r="S73" i="35"/>
  <c r="T73" i="35"/>
  <c r="U73" i="35"/>
  <c r="V73" i="35"/>
  <c r="S74" i="35"/>
  <c r="T74" i="35"/>
  <c r="U74" i="35"/>
  <c r="V74" i="35"/>
  <c r="S75" i="35"/>
  <c r="T75" i="35"/>
  <c r="U75" i="35"/>
  <c r="V75" i="35"/>
  <c r="I76" i="35"/>
  <c r="J76" i="35"/>
  <c r="K76" i="35"/>
  <c r="L76" i="35"/>
  <c r="N76" i="35"/>
  <c r="O76" i="35"/>
  <c r="P76" i="35"/>
  <c r="Q76" i="35"/>
  <c r="N77" i="35"/>
  <c r="T77" i="35"/>
  <c r="U77" i="35"/>
  <c r="V77" i="35"/>
  <c r="S78" i="35"/>
  <c r="T78" i="35"/>
  <c r="U78" i="35"/>
  <c r="V78" i="35"/>
  <c r="S79" i="35"/>
  <c r="T79" i="35"/>
  <c r="U79" i="35"/>
  <c r="V79" i="35"/>
  <c r="I80" i="35"/>
  <c r="J80" i="35"/>
  <c r="K80" i="35"/>
  <c r="L80" i="35"/>
  <c r="O80" i="35"/>
  <c r="P80" i="35"/>
  <c r="Q80" i="35"/>
  <c r="N81" i="35"/>
  <c r="T81" i="35"/>
  <c r="U81" i="35"/>
  <c r="V81" i="35"/>
  <c r="S82" i="35"/>
  <c r="T82" i="35"/>
  <c r="U82" i="35"/>
  <c r="V82" i="35"/>
  <c r="S83" i="35"/>
  <c r="T83" i="35"/>
  <c r="U83" i="35"/>
  <c r="V83" i="35"/>
  <c r="I84" i="35"/>
  <c r="J84" i="35"/>
  <c r="K84" i="35"/>
  <c r="L84" i="35"/>
  <c r="O84" i="35"/>
  <c r="P84" i="35"/>
  <c r="Q84" i="35"/>
  <c r="S85" i="35"/>
  <c r="T85" i="35"/>
  <c r="U85" i="35"/>
  <c r="V85" i="35"/>
  <c r="I86" i="35"/>
  <c r="J86" i="35"/>
  <c r="K86" i="35"/>
  <c r="L86" i="35"/>
  <c r="N86" i="35"/>
  <c r="O86" i="35"/>
  <c r="P86" i="35"/>
  <c r="Q86" i="35"/>
  <c r="S87" i="35"/>
  <c r="T87" i="35"/>
  <c r="U87" i="35"/>
  <c r="V87" i="35"/>
  <c r="I88" i="35"/>
  <c r="J88" i="35"/>
  <c r="K88" i="35"/>
  <c r="L88" i="35"/>
  <c r="N88" i="35"/>
  <c r="O88" i="35"/>
  <c r="P88" i="35"/>
  <c r="Q88" i="35"/>
  <c r="S89" i="35"/>
  <c r="T89" i="35"/>
  <c r="U89" i="35"/>
  <c r="V89" i="35"/>
  <c r="I90" i="35"/>
  <c r="J90" i="35"/>
  <c r="K90" i="35"/>
  <c r="L90" i="35"/>
  <c r="N90" i="35"/>
  <c r="O90" i="35"/>
  <c r="P90" i="35"/>
  <c r="Q90" i="35"/>
  <c r="N91" i="35"/>
  <c r="T91" i="35"/>
  <c r="U91" i="35"/>
  <c r="V91" i="35"/>
  <c r="I92" i="35"/>
  <c r="J92" i="35"/>
  <c r="K92" i="35"/>
  <c r="L92" i="35"/>
  <c r="N92" i="35"/>
  <c r="O92" i="35"/>
  <c r="P92" i="35"/>
  <c r="Q92" i="35"/>
  <c r="N93" i="35"/>
  <c r="T93" i="35"/>
  <c r="U93" i="35"/>
  <c r="V93" i="35"/>
  <c r="T94" i="35"/>
  <c r="U94" i="35"/>
  <c r="V94" i="35"/>
  <c r="S95" i="35"/>
  <c r="T95" i="35"/>
  <c r="U95" i="35"/>
  <c r="V95" i="35"/>
  <c r="I96" i="35"/>
  <c r="J96" i="35"/>
  <c r="K96" i="35"/>
  <c r="L96" i="35"/>
  <c r="N96" i="35"/>
  <c r="O96" i="35"/>
  <c r="P96" i="35"/>
  <c r="Q96" i="35"/>
  <c r="N97" i="35"/>
  <c r="T97" i="35"/>
  <c r="U97" i="35"/>
  <c r="V97" i="35"/>
  <c r="I98" i="35"/>
  <c r="J98" i="35"/>
  <c r="K98" i="35"/>
  <c r="L98" i="35"/>
  <c r="N98" i="35"/>
  <c r="O98" i="35"/>
  <c r="P98" i="35"/>
  <c r="Q98" i="35"/>
  <c r="N99" i="35"/>
  <c r="M99" i="35" s="1"/>
  <c r="T99" i="35"/>
  <c r="U99" i="35"/>
  <c r="V99" i="35"/>
  <c r="I100" i="35"/>
  <c r="J100" i="35"/>
  <c r="K100" i="35"/>
  <c r="L100" i="35"/>
  <c r="O100" i="35"/>
  <c r="P100" i="35"/>
  <c r="Q100" i="35"/>
  <c r="N101" i="35"/>
  <c r="M101" i="35" s="1"/>
  <c r="T101" i="35"/>
  <c r="U101" i="35"/>
  <c r="V101" i="35"/>
  <c r="I102" i="35"/>
  <c r="J102" i="35"/>
  <c r="K102" i="35"/>
  <c r="L102" i="35"/>
  <c r="O102" i="35"/>
  <c r="P102" i="35"/>
  <c r="Q102" i="35"/>
  <c r="P19" i="34"/>
  <c r="P20" i="34"/>
  <c r="P22" i="34"/>
  <c r="P23" i="34"/>
  <c r="P24" i="34"/>
  <c r="P25" i="34"/>
  <c r="P26" i="34"/>
  <c r="P27" i="34"/>
  <c r="P29" i="34"/>
  <c r="P30" i="34"/>
  <c r="P31" i="34"/>
  <c r="P32" i="34"/>
  <c r="P33" i="34"/>
  <c r="P34" i="34"/>
  <c r="P36" i="34"/>
  <c r="P37" i="34"/>
  <c r="P38" i="34"/>
  <c r="P39" i="34"/>
  <c r="P40" i="34"/>
  <c r="P41" i="34"/>
  <c r="P43" i="34"/>
  <c r="P44" i="34"/>
  <c r="P45" i="34"/>
  <c r="P47" i="34"/>
  <c r="P49" i="34"/>
  <c r="P51" i="34"/>
  <c r="P52" i="34"/>
  <c r="P53" i="34"/>
  <c r="P55" i="34"/>
  <c r="P56" i="34"/>
  <c r="P58" i="34"/>
  <c r="P59" i="34"/>
  <c r="P61" i="34"/>
  <c r="P62" i="34"/>
  <c r="P64" i="34"/>
  <c r="P66" i="34"/>
  <c r="P68" i="34"/>
  <c r="P70" i="34"/>
  <c r="P71" i="34"/>
  <c r="P72" i="34"/>
  <c r="P74" i="34"/>
  <c r="P76" i="34"/>
  <c r="P77" i="34"/>
  <c r="P78" i="34"/>
  <c r="P79" i="34"/>
  <c r="P81" i="34"/>
  <c r="P82" i="34"/>
  <c r="P83" i="34"/>
  <c r="P84" i="34"/>
  <c r="P85" i="34"/>
  <c r="P87" i="34"/>
  <c r="P88" i="34"/>
  <c r="P90" i="34"/>
  <c r="P91" i="34"/>
  <c r="P92" i="34"/>
  <c r="P93" i="34"/>
  <c r="P94" i="34"/>
  <c r="P96" i="34"/>
  <c r="P97" i="34"/>
  <c r="P99" i="34"/>
  <c r="P100" i="34"/>
  <c r="P101" i="34"/>
  <c r="P103" i="34"/>
  <c r="P104" i="34"/>
  <c r="P105" i="34"/>
  <c r="P107" i="34"/>
  <c r="P108" i="34"/>
  <c r="P109" i="34"/>
  <c r="P111" i="34"/>
  <c r="P112" i="34"/>
  <c r="P114" i="34"/>
  <c r="P115" i="34"/>
  <c r="P116" i="34"/>
  <c r="P118" i="34"/>
  <c r="P119" i="34"/>
  <c r="P120" i="34"/>
  <c r="P122" i="34"/>
  <c r="P123" i="34"/>
  <c r="P124" i="34"/>
  <c r="P126" i="34"/>
  <c r="P128" i="34"/>
  <c r="P130" i="34"/>
  <c r="P132" i="34"/>
  <c r="P134" i="34"/>
  <c r="P136" i="34"/>
  <c r="P138" i="34"/>
  <c r="P140" i="34"/>
  <c r="P142" i="34"/>
  <c r="P144" i="34"/>
  <c r="P146" i="34"/>
  <c r="P17" i="34"/>
  <c r="K19" i="34"/>
  <c r="K20" i="34"/>
  <c r="K22" i="34"/>
  <c r="K23" i="34"/>
  <c r="K24" i="34"/>
  <c r="K25" i="34"/>
  <c r="K26" i="34"/>
  <c r="K27" i="34"/>
  <c r="K29" i="34"/>
  <c r="K30" i="34"/>
  <c r="K31" i="34"/>
  <c r="K32" i="34"/>
  <c r="K33" i="34"/>
  <c r="K34" i="34"/>
  <c r="K36" i="34"/>
  <c r="K37" i="34"/>
  <c r="K38" i="34"/>
  <c r="K39" i="34"/>
  <c r="K40" i="34"/>
  <c r="K41" i="34"/>
  <c r="K43" i="34"/>
  <c r="K44" i="34"/>
  <c r="K45" i="34"/>
  <c r="K47" i="34"/>
  <c r="K49" i="34"/>
  <c r="K51" i="34"/>
  <c r="K52" i="34"/>
  <c r="K53" i="34"/>
  <c r="K55" i="34"/>
  <c r="K56" i="34"/>
  <c r="K58" i="34"/>
  <c r="K59" i="34"/>
  <c r="K61" i="34"/>
  <c r="K62" i="34"/>
  <c r="K64" i="34"/>
  <c r="K66" i="34"/>
  <c r="K68" i="34"/>
  <c r="K70" i="34"/>
  <c r="K71" i="34"/>
  <c r="K72" i="34"/>
  <c r="K74" i="34"/>
  <c r="K76" i="34"/>
  <c r="K77" i="34"/>
  <c r="K78" i="34"/>
  <c r="K79" i="34"/>
  <c r="K81" i="34"/>
  <c r="K82" i="34"/>
  <c r="K83" i="34"/>
  <c r="K84" i="34"/>
  <c r="K85" i="34"/>
  <c r="K87" i="34"/>
  <c r="K88" i="34"/>
  <c r="K90" i="34"/>
  <c r="K91" i="34"/>
  <c r="K92" i="34"/>
  <c r="K93" i="34"/>
  <c r="K94" i="34"/>
  <c r="K96" i="34"/>
  <c r="K97" i="34"/>
  <c r="K99" i="34"/>
  <c r="K100" i="34"/>
  <c r="K101" i="34"/>
  <c r="K103" i="34"/>
  <c r="K104" i="34"/>
  <c r="K105" i="34"/>
  <c r="K107" i="34"/>
  <c r="K108" i="34"/>
  <c r="K109" i="34"/>
  <c r="K111" i="34"/>
  <c r="K112" i="34"/>
  <c r="K114" i="34"/>
  <c r="K115" i="34"/>
  <c r="K116" i="34"/>
  <c r="K118" i="34"/>
  <c r="K119" i="34"/>
  <c r="K120" i="34"/>
  <c r="K122" i="34"/>
  <c r="K123" i="34"/>
  <c r="K124" i="34"/>
  <c r="K126" i="34"/>
  <c r="K128" i="34"/>
  <c r="K130" i="34"/>
  <c r="K132" i="34"/>
  <c r="K134" i="34"/>
  <c r="K136" i="34"/>
  <c r="K138" i="34"/>
  <c r="K140" i="34"/>
  <c r="K142" i="34"/>
  <c r="K144" i="34"/>
  <c r="K146" i="34"/>
  <c r="K17" i="34"/>
  <c r="L147" i="34"/>
  <c r="K147" i="34" s="1"/>
  <c r="M147" i="34"/>
  <c r="N147" i="34"/>
  <c r="O147" i="34"/>
  <c r="Q147" i="34"/>
  <c r="P147" i="34" s="1"/>
  <c r="R147" i="34"/>
  <c r="S147" i="34"/>
  <c r="T147" i="34"/>
  <c r="L145" i="34"/>
  <c r="K145" i="34" s="1"/>
  <c r="M145" i="34"/>
  <c r="N145" i="34"/>
  <c r="O145" i="34"/>
  <c r="Q145" i="34"/>
  <c r="P145" i="34" s="1"/>
  <c r="R145" i="34"/>
  <c r="S145" i="34"/>
  <c r="T145" i="34"/>
  <c r="L143" i="34"/>
  <c r="K143" i="34" s="1"/>
  <c r="M143" i="34"/>
  <c r="N143" i="34"/>
  <c r="O143" i="34"/>
  <c r="Q143" i="34"/>
  <c r="P143" i="34" s="1"/>
  <c r="R143" i="34"/>
  <c r="S143" i="34"/>
  <c r="T143" i="34"/>
  <c r="L141" i="34"/>
  <c r="K141" i="34" s="1"/>
  <c r="M141" i="34"/>
  <c r="N141" i="34"/>
  <c r="O141" i="34"/>
  <c r="Q141" i="34"/>
  <c r="P141" i="34" s="1"/>
  <c r="R141" i="34"/>
  <c r="S141" i="34"/>
  <c r="T141" i="34"/>
  <c r="L139" i="34"/>
  <c r="K139" i="34" s="1"/>
  <c r="M139" i="34"/>
  <c r="N139" i="34"/>
  <c r="O139" i="34"/>
  <c r="Q139" i="34"/>
  <c r="P139" i="34" s="1"/>
  <c r="R139" i="34"/>
  <c r="S139" i="34"/>
  <c r="T139" i="34"/>
  <c r="L137" i="34"/>
  <c r="K137" i="34" s="1"/>
  <c r="M137" i="34"/>
  <c r="N137" i="34"/>
  <c r="O137" i="34"/>
  <c r="Q137" i="34"/>
  <c r="P137" i="34" s="1"/>
  <c r="R137" i="34"/>
  <c r="S137" i="34"/>
  <c r="T137" i="34"/>
  <c r="L135" i="34"/>
  <c r="K135" i="34" s="1"/>
  <c r="M135" i="34"/>
  <c r="N135" i="34"/>
  <c r="O135" i="34"/>
  <c r="Q135" i="34"/>
  <c r="P135" i="34" s="1"/>
  <c r="R135" i="34"/>
  <c r="S135" i="34"/>
  <c r="T135" i="34"/>
  <c r="L133" i="34"/>
  <c r="K133" i="34" s="1"/>
  <c r="M133" i="34"/>
  <c r="N133" i="34"/>
  <c r="O133" i="34"/>
  <c r="Q133" i="34"/>
  <c r="R133" i="34"/>
  <c r="P133" i="34" s="1"/>
  <c r="S133" i="34"/>
  <c r="T133" i="34"/>
  <c r="L131" i="34"/>
  <c r="K131" i="34" s="1"/>
  <c r="M131" i="34"/>
  <c r="N131" i="34"/>
  <c r="O131" i="34"/>
  <c r="Q131" i="34"/>
  <c r="P131" i="34" s="1"/>
  <c r="R131" i="34"/>
  <c r="S131" i="34"/>
  <c r="T131" i="34"/>
  <c r="L129" i="34"/>
  <c r="K129" i="34" s="1"/>
  <c r="M129" i="34"/>
  <c r="N129" i="34"/>
  <c r="O129" i="34"/>
  <c r="Q129" i="34"/>
  <c r="P129" i="34" s="1"/>
  <c r="R129" i="34"/>
  <c r="S129" i="34"/>
  <c r="T129" i="34"/>
  <c r="L127" i="34"/>
  <c r="M127" i="34"/>
  <c r="K127" i="34" s="1"/>
  <c r="N127" i="34"/>
  <c r="O127" i="34"/>
  <c r="Q127" i="34"/>
  <c r="R127" i="34"/>
  <c r="P127" i="34" s="1"/>
  <c r="S127" i="34"/>
  <c r="T127" i="34"/>
  <c r="L125" i="34"/>
  <c r="K125" i="34" s="1"/>
  <c r="M125" i="34"/>
  <c r="N125" i="34"/>
  <c r="O125" i="34"/>
  <c r="Q125" i="34"/>
  <c r="P125" i="34" s="1"/>
  <c r="R125" i="34"/>
  <c r="S125" i="34"/>
  <c r="T125" i="34"/>
  <c r="L121" i="34"/>
  <c r="K121" i="34" s="1"/>
  <c r="M121" i="34"/>
  <c r="N121" i="34"/>
  <c r="O121" i="34"/>
  <c r="Q121" i="34"/>
  <c r="P121" i="34" s="1"/>
  <c r="R121" i="34"/>
  <c r="S121" i="34"/>
  <c r="T121" i="34"/>
  <c r="L117" i="34"/>
  <c r="K117" i="34" s="1"/>
  <c r="M117" i="34"/>
  <c r="N117" i="34"/>
  <c r="O117" i="34"/>
  <c r="Q117" i="34"/>
  <c r="P117" i="34" s="1"/>
  <c r="R117" i="34"/>
  <c r="S117" i="34"/>
  <c r="T117" i="34"/>
  <c r="L113" i="34"/>
  <c r="K113" i="34" s="1"/>
  <c r="M113" i="34"/>
  <c r="N113" i="34"/>
  <c r="O113" i="34"/>
  <c r="Q113" i="34"/>
  <c r="P113" i="34" s="1"/>
  <c r="R113" i="34"/>
  <c r="S113" i="34"/>
  <c r="T113" i="34"/>
  <c r="L110" i="34"/>
  <c r="K110" i="34" s="1"/>
  <c r="M110" i="34"/>
  <c r="N110" i="34"/>
  <c r="O110" i="34"/>
  <c r="Q110" i="34"/>
  <c r="P110" i="34" s="1"/>
  <c r="R110" i="34"/>
  <c r="S110" i="34"/>
  <c r="T110" i="34"/>
  <c r="L106" i="34"/>
  <c r="K106" i="34" s="1"/>
  <c r="M106" i="34"/>
  <c r="N106" i="34"/>
  <c r="O106" i="34"/>
  <c r="Q106" i="34"/>
  <c r="P106" i="34" s="1"/>
  <c r="R106" i="34"/>
  <c r="S106" i="34"/>
  <c r="T106" i="34"/>
  <c r="L102" i="34"/>
  <c r="K102" i="34" s="1"/>
  <c r="M102" i="34"/>
  <c r="N102" i="34"/>
  <c r="O102" i="34"/>
  <c r="Q102" i="34"/>
  <c r="P102" i="34" s="1"/>
  <c r="R102" i="34"/>
  <c r="S102" i="34"/>
  <c r="T102" i="34"/>
  <c r="L98" i="34"/>
  <c r="K98" i="34" s="1"/>
  <c r="M98" i="34"/>
  <c r="N98" i="34"/>
  <c r="O98" i="34"/>
  <c r="Q98" i="34"/>
  <c r="P98" i="34" s="1"/>
  <c r="R98" i="34"/>
  <c r="S98" i="34"/>
  <c r="T98" i="34"/>
  <c r="L95" i="34"/>
  <c r="K95" i="34" s="1"/>
  <c r="M95" i="34"/>
  <c r="N95" i="34"/>
  <c r="O95" i="34"/>
  <c r="Q95" i="34"/>
  <c r="P95" i="34" s="1"/>
  <c r="R95" i="34"/>
  <c r="S95" i="34"/>
  <c r="T95" i="34"/>
  <c r="L89" i="34"/>
  <c r="K89" i="34" s="1"/>
  <c r="M89" i="34"/>
  <c r="N89" i="34"/>
  <c r="O89" i="34"/>
  <c r="Q89" i="34"/>
  <c r="P89" i="34" s="1"/>
  <c r="R89" i="34"/>
  <c r="S89" i="34"/>
  <c r="T89" i="34"/>
  <c r="L86" i="34"/>
  <c r="K86" i="34" s="1"/>
  <c r="M86" i="34"/>
  <c r="N86" i="34"/>
  <c r="O86" i="34"/>
  <c r="Q86" i="34"/>
  <c r="P86" i="34" s="1"/>
  <c r="R86" i="34"/>
  <c r="S86" i="34"/>
  <c r="T86" i="34"/>
  <c r="L80" i="34"/>
  <c r="K80" i="34" s="1"/>
  <c r="M80" i="34"/>
  <c r="N80" i="34"/>
  <c r="O80" i="34"/>
  <c r="Q80" i="34"/>
  <c r="P80" i="34" s="1"/>
  <c r="R80" i="34"/>
  <c r="S80" i="34"/>
  <c r="T80" i="34"/>
  <c r="L75" i="34"/>
  <c r="K75" i="34" s="1"/>
  <c r="M75" i="34"/>
  <c r="N75" i="34"/>
  <c r="O75" i="34"/>
  <c r="Q75" i="34"/>
  <c r="P75" i="34" s="1"/>
  <c r="R75" i="34"/>
  <c r="S75" i="34"/>
  <c r="T75" i="34"/>
  <c r="L73" i="34"/>
  <c r="K73" i="34" s="1"/>
  <c r="M73" i="34"/>
  <c r="N73" i="34"/>
  <c r="O73" i="34"/>
  <c r="Q73" i="34"/>
  <c r="P73" i="34" s="1"/>
  <c r="R73" i="34"/>
  <c r="S73" i="34"/>
  <c r="T73" i="34"/>
  <c r="L69" i="34"/>
  <c r="K69" i="34" s="1"/>
  <c r="M69" i="34"/>
  <c r="N69" i="34"/>
  <c r="O69" i="34"/>
  <c r="Q69" i="34"/>
  <c r="P69" i="34" s="1"/>
  <c r="R69" i="34"/>
  <c r="S69" i="34"/>
  <c r="T69" i="34"/>
  <c r="L67" i="34"/>
  <c r="K67" i="34" s="1"/>
  <c r="M67" i="34"/>
  <c r="N67" i="34"/>
  <c r="O67" i="34"/>
  <c r="Q67" i="34"/>
  <c r="P67" i="34" s="1"/>
  <c r="R67" i="34"/>
  <c r="S67" i="34"/>
  <c r="T67" i="34"/>
  <c r="L65" i="34"/>
  <c r="K65" i="34" s="1"/>
  <c r="M65" i="34"/>
  <c r="N65" i="34"/>
  <c r="O65" i="34"/>
  <c r="Q65" i="34"/>
  <c r="P65" i="34" s="1"/>
  <c r="R65" i="34"/>
  <c r="S65" i="34"/>
  <c r="T65" i="34"/>
  <c r="L63" i="34"/>
  <c r="K63" i="34" s="1"/>
  <c r="M63" i="34"/>
  <c r="N63" i="34"/>
  <c r="O63" i="34"/>
  <c r="Q63" i="34"/>
  <c r="P63" i="34" s="1"/>
  <c r="R63" i="34"/>
  <c r="S63" i="34"/>
  <c r="T63" i="34"/>
  <c r="L60" i="34"/>
  <c r="K60" i="34" s="1"/>
  <c r="M60" i="34"/>
  <c r="N60" i="34"/>
  <c r="O60" i="34"/>
  <c r="Q60" i="34"/>
  <c r="P60" i="34" s="1"/>
  <c r="R60" i="34"/>
  <c r="S60" i="34"/>
  <c r="T60" i="34"/>
  <c r="L57" i="34"/>
  <c r="K57" i="34" s="1"/>
  <c r="M57" i="34"/>
  <c r="N57" i="34"/>
  <c r="O57" i="34"/>
  <c r="Q57" i="34"/>
  <c r="P57" i="34" s="1"/>
  <c r="R57" i="34"/>
  <c r="S57" i="34"/>
  <c r="T57" i="34"/>
  <c r="L54" i="34"/>
  <c r="K54" i="34" s="1"/>
  <c r="M54" i="34"/>
  <c r="N54" i="34"/>
  <c r="O54" i="34"/>
  <c r="Q54" i="34"/>
  <c r="P54" i="34" s="1"/>
  <c r="R54" i="34"/>
  <c r="S54" i="34"/>
  <c r="T54" i="34"/>
  <c r="L50" i="34"/>
  <c r="K50" i="34" s="1"/>
  <c r="M50" i="34"/>
  <c r="N50" i="34"/>
  <c r="O50" i="34"/>
  <c r="Q50" i="34"/>
  <c r="P50" i="34" s="1"/>
  <c r="R50" i="34"/>
  <c r="S50" i="34"/>
  <c r="T50" i="34"/>
  <c r="R74" i="35" l="1"/>
  <c r="R72" i="35"/>
  <c r="N53" i="35"/>
  <c r="S49" i="35"/>
  <c r="R49" i="35" s="1"/>
  <c r="R40" i="35"/>
  <c r="R38" i="35"/>
  <c r="N30" i="35"/>
  <c r="S28" i="35"/>
  <c r="R28" i="35" s="1"/>
  <c r="R23" i="35"/>
  <c r="N22" i="35"/>
  <c r="S19" i="35"/>
  <c r="R19" i="35" s="1"/>
  <c r="N71" i="35"/>
  <c r="M71" i="35" s="1"/>
  <c r="S68" i="35"/>
  <c r="R67" i="35"/>
  <c r="H64" i="35"/>
  <c r="R56" i="35"/>
  <c r="R44" i="35"/>
  <c r="R32" i="35"/>
  <c r="N27" i="35"/>
  <c r="H27" i="35"/>
  <c r="S26" i="35"/>
  <c r="N17" i="35"/>
  <c r="M17" i="35" s="1"/>
  <c r="H17" i="35"/>
  <c r="S16" i="35"/>
  <c r="R16" i="35" s="1"/>
  <c r="R79" i="35"/>
  <c r="H33" i="35"/>
  <c r="H30" i="35"/>
  <c r="H25" i="35"/>
  <c r="M22" i="35"/>
  <c r="H22" i="35"/>
  <c r="M96" i="35"/>
  <c r="H96" i="35"/>
  <c r="M92" i="35"/>
  <c r="H92" i="35"/>
  <c r="S91" i="35"/>
  <c r="R91" i="35" s="1"/>
  <c r="M91" i="35"/>
  <c r="M88" i="35"/>
  <c r="H88" i="35"/>
  <c r="R87" i="35"/>
  <c r="H84" i="35"/>
  <c r="R83" i="35"/>
  <c r="R82" i="35"/>
  <c r="S81" i="35"/>
  <c r="R81" i="35" s="1"/>
  <c r="M81" i="35"/>
  <c r="S77" i="35"/>
  <c r="R77" i="35" s="1"/>
  <c r="M77" i="35"/>
  <c r="M66" i="35"/>
  <c r="H66" i="35"/>
  <c r="R65" i="35"/>
  <c r="S63" i="35"/>
  <c r="R63" i="35" s="1"/>
  <c r="N64" i="35"/>
  <c r="M63" i="35"/>
  <c r="R61" i="35"/>
  <c r="R59" i="35"/>
  <c r="R58" i="35"/>
  <c r="I62" i="35"/>
  <c r="H62" i="35" s="1"/>
  <c r="H58" i="35"/>
  <c r="M48" i="35"/>
  <c r="H48" i="35"/>
  <c r="R47" i="35"/>
  <c r="M43" i="35"/>
  <c r="H43" i="35"/>
  <c r="R42" i="35"/>
  <c r="H41" i="35"/>
  <c r="N102" i="35"/>
  <c r="H102" i="35"/>
  <c r="S101" i="35"/>
  <c r="R101" i="35" s="1"/>
  <c r="N100" i="35"/>
  <c r="H100" i="35"/>
  <c r="S99" i="35"/>
  <c r="R99" i="35" s="1"/>
  <c r="M98" i="35"/>
  <c r="H98" i="35"/>
  <c r="S97" i="35"/>
  <c r="R97" i="35" s="1"/>
  <c r="M97" i="35"/>
  <c r="R95" i="35"/>
  <c r="S93" i="35"/>
  <c r="R93" i="35" s="1"/>
  <c r="M93" i="35"/>
  <c r="M90" i="35"/>
  <c r="H90" i="35"/>
  <c r="R89" i="35"/>
  <c r="M86" i="35"/>
  <c r="H86" i="35"/>
  <c r="R85" i="35"/>
  <c r="N80" i="35"/>
  <c r="H80" i="35"/>
  <c r="M76" i="35"/>
  <c r="H76" i="35"/>
  <c r="H73" i="35"/>
  <c r="H71" i="35"/>
  <c r="R69" i="35"/>
  <c r="R68" i="35"/>
  <c r="M62" i="35"/>
  <c r="M57" i="35"/>
  <c r="H57" i="35"/>
  <c r="M53" i="35"/>
  <c r="H53" i="35"/>
  <c r="R52" i="35"/>
  <c r="R51" i="35"/>
  <c r="M46" i="35"/>
  <c r="H46" i="35"/>
  <c r="R45" i="35"/>
  <c r="M41" i="35"/>
  <c r="H36" i="35"/>
  <c r="R35" i="35"/>
  <c r="S34" i="35"/>
  <c r="R34" i="35" s="1"/>
  <c r="M34" i="35"/>
  <c r="M33" i="35"/>
  <c r="R29" i="35"/>
  <c r="R26" i="35"/>
  <c r="R20" i="35"/>
  <c r="R18" i="35"/>
  <c r="H38" i="35"/>
  <c r="M27" i="35"/>
  <c r="M25" i="35"/>
  <c r="R78" i="35"/>
  <c r="R75" i="35"/>
  <c r="R73" i="35"/>
  <c r="R70" i="35"/>
  <c r="R60" i="35"/>
  <c r="R55" i="35"/>
  <c r="R54" i="35"/>
  <c r="R50" i="35"/>
  <c r="R39" i="35"/>
  <c r="R37" i="35"/>
  <c r="R31" i="35"/>
  <c r="R24" i="35"/>
  <c r="R21" i="35"/>
  <c r="M30" i="35"/>
  <c r="N36" i="35"/>
  <c r="N94" i="35"/>
  <c r="N84" i="35"/>
  <c r="M84" i="35" s="1"/>
  <c r="L48" i="34"/>
  <c r="M48" i="34"/>
  <c r="N48" i="34"/>
  <c r="O48" i="34"/>
  <c r="Q48" i="34"/>
  <c r="R48" i="34"/>
  <c r="S48" i="34"/>
  <c r="T48" i="34"/>
  <c r="L46" i="34"/>
  <c r="M46" i="34"/>
  <c r="N46" i="34"/>
  <c r="O46" i="34"/>
  <c r="Q46" i="34"/>
  <c r="R46" i="34"/>
  <c r="S46" i="34"/>
  <c r="T46" i="34"/>
  <c r="L42" i="34"/>
  <c r="M42" i="34"/>
  <c r="N42" i="34"/>
  <c r="O42" i="34"/>
  <c r="Q42" i="34"/>
  <c r="R42" i="34"/>
  <c r="S42" i="34"/>
  <c r="T42" i="34"/>
  <c r="L35" i="34"/>
  <c r="M35" i="34"/>
  <c r="N35" i="34"/>
  <c r="O35" i="34"/>
  <c r="Q35" i="34"/>
  <c r="R35" i="34"/>
  <c r="S35" i="34"/>
  <c r="T35" i="34"/>
  <c r="L28" i="34"/>
  <c r="M28" i="34"/>
  <c r="N28" i="34"/>
  <c r="O28" i="34"/>
  <c r="Q28" i="34"/>
  <c r="R28" i="34"/>
  <c r="S28" i="34"/>
  <c r="T28" i="34"/>
  <c r="L21" i="34"/>
  <c r="M21" i="34"/>
  <c r="N21" i="34"/>
  <c r="O21" i="34"/>
  <c r="Q21" i="34"/>
  <c r="R21" i="34"/>
  <c r="S21" i="34"/>
  <c r="T21" i="34"/>
  <c r="L18" i="34"/>
  <c r="M18" i="34"/>
  <c r="N18" i="34"/>
  <c r="O18" i="34"/>
  <c r="Q18" i="34"/>
  <c r="R18" i="34"/>
  <c r="S18" i="34"/>
  <c r="T18" i="34"/>
  <c r="G18" i="34"/>
  <c r="H18" i="34"/>
  <c r="I18" i="34"/>
  <c r="F18" i="34" s="1"/>
  <c r="J18" i="34"/>
  <c r="F19" i="34"/>
  <c r="F20" i="34"/>
  <c r="F22" i="34"/>
  <c r="F23" i="34"/>
  <c r="F24" i="34"/>
  <c r="F25" i="34"/>
  <c r="F26" i="34"/>
  <c r="F27" i="34"/>
  <c r="F29" i="34"/>
  <c r="F30" i="34"/>
  <c r="F31" i="34"/>
  <c r="F32" i="34"/>
  <c r="F33" i="34"/>
  <c r="F34" i="34"/>
  <c r="F36" i="34"/>
  <c r="F37" i="34"/>
  <c r="F38" i="34"/>
  <c r="F39" i="34"/>
  <c r="F40" i="34"/>
  <c r="F41" i="34"/>
  <c r="F43" i="34"/>
  <c r="F44" i="34"/>
  <c r="F45" i="34"/>
  <c r="F47" i="34"/>
  <c r="F49" i="34"/>
  <c r="F51" i="34"/>
  <c r="F52" i="34"/>
  <c r="F53" i="34"/>
  <c r="F55" i="34"/>
  <c r="F56" i="34"/>
  <c r="F58" i="34"/>
  <c r="F59" i="34"/>
  <c r="F61" i="34"/>
  <c r="F62" i="34"/>
  <c r="F64" i="34"/>
  <c r="F66" i="34"/>
  <c r="F68" i="34"/>
  <c r="F70" i="34"/>
  <c r="F71" i="34"/>
  <c r="F72" i="34"/>
  <c r="F74" i="34"/>
  <c r="F76" i="34"/>
  <c r="F77" i="34"/>
  <c r="F78" i="34"/>
  <c r="F79" i="34"/>
  <c r="F81" i="34"/>
  <c r="F82" i="34"/>
  <c r="F83" i="34"/>
  <c r="F84" i="34"/>
  <c r="F85" i="34"/>
  <c r="F87" i="34"/>
  <c r="F88" i="34"/>
  <c r="F90" i="34"/>
  <c r="F91" i="34"/>
  <c r="F92" i="34"/>
  <c r="F93" i="34"/>
  <c r="F94" i="34"/>
  <c r="F96" i="34"/>
  <c r="F97" i="34"/>
  <c r="F99" i="34"/>
  <c r="F100" i="34"/>
  <c r="F101" i="34"/>
  <c r="F103" i="34"/>
  <c r="F104" i="34"/>
  <c r="F105" i="34"/>
  <c r="F107" i="34"/>
  <c r="F108" i="34"/>
  <c r="F109" i="34"/>
  <c r="F111" i="34"/>
  <c r="F112" i="34"/>
  <c r="F114" i="34"/>
  <c r="F115" i="34"/>
  <c r="F116" i="34"/>
  <c r="F118" i="34"/>
  <c r="F119" i="34"/>
  <c r="F120" i="34"/>
  <c r="F122" i="34"/>
  <c r="F123" i="34"/>
  <c r="F124" i="34"/>
  <c r="F126" i="34"/>
  <c r="F128" i="34"/>
  <c r="F130" i="34"/>
  <c r="F132" i="34"/>
  <c r="F134" i="34"/>
  <c r="F136" i="34"/>
  <c r="F138" i="34"/>
  <c r="F140" i="34"/>
  <c r="F142" i="34"/>
  <c r="F144" i="34"/>
  <c r="F146" i="34"/>
  <c r="F17" i="34"/>
  <c r="P48" i="34" l="1"/>
  <c r="K48" i="34"/>
  <c r="P46" i="34"/>
  <c r="K46" i="34"/>
  <c r="P42" i="34"/>
  <c r="K42" i="34"/>
  <c r="P35" i="34"/>
  <c r="K35" i="34"/>
  <c r="P28" i="34"/>
  <c r="K28" i="34"/>
  <c r="P21" i="34"/>
  <c r="K21" i="34"/>
  <c r="P18" i="34"/>
  <c r="K18" i="34"/>
  <c r="N103" i="35"/>
  <c r="M36" i="35"/>
  <c r="M80" i="35"/>
  <c r="M100" i="35"/>
  <c r="M64" i="35"/>
  <c r="M94" i="35"/>
  <c r="M102" i="35"/>
  <c r="Q52" i="38"/>
  <c r="P52" i="38" s="1"/>
  <c r="Q122" i="34" l="1"/>
  <c r="Q90" i="34"/>
  <c r="Q66" i="34"/>
  <c r="Q64" i="34"/>
  <c r="Q61" i="34"/>
  <c r="Q144" i="34" l="1"/>
  <c r="Q142" i="34"/>
  <c r="Q140" i="34"/>
  <c r="Q136" i="34"/>
  <c r="Q134" i="34"/>
  <c r="Q118" i="34"/>
  <c r="Q107" i="34"/>
  <c r="Q96" i="34"/>
  <c r="Q70" i="34"/>
  <c r="Q68" i="34"/>
  <c r="Q53" i="34"/>
  <c r="Q51" i="34"/>
  <c r="Q49" i="34"/>
  <c r="Q36" i="34"/>
  <c r="Q30" i="34"/>
  <c r="Q96" i="38"/>
  <c r="P96" i="38" s="1"/>
  <c r="Q94" i="38"/>
  <c r="P94" i="38" s="1"/>
  <c r="Q64" i="38"/>
  <c r="P64" i="38" s="1"/>
  <c r="Q84" i="38"/>
  <c r="P84" i="38" s="1"/>
  <c r="Q66" i="38"/>
  <c r="P66" i="38" s="1"/>
  <c r="Q57" i="38" l="1"/>
  <c r="P57" i="38" s="1"/>
  <c r="Q40" i="38"/>
  <c r="P40" i="38" s="1"/>
  <c r="Q16" i="38"/>
  <c r="P16" i="38" s="1"/>
  <c r="Q55" i="37"/>
  <c r="Q41" i="37"/>
  <c r="Q36" i="37"/>
  <c r="Q32" i="37"/>
  <c r="Q28" i="37"/>
  <c r="O46" i="36"/>
  <c r="O38" i="36"/>
  <c r="O34" i="36"/>
  <c r="O23" i="36"/>
  <c r="O21" i="36"/>
  <c r="O19" i="36"/>
  <c r="T19" i="36" l="1"/>
  <c r="S19" i="36" s="1"/>
  <c r="N19" i="36"/>
  <c r="T23" i="36"/>
  <c r="S23" i="36" s="1"/>
  <c r="N23" i="36"/>
  <c r="T38" i="36"/>
  <c r="S38" i="36" s="1"/>
  <c r="N38" i="36"/>
  <c r="T21" i="36"/>
  <c r="S21" i="36" s="1"/>
  <c r="N21" i="36"/>
  <c r="T34" i="36"/>
  <c r="S34" i="36" s="1"/>
  <c r="N34" i="36"/>
  <c r="T46" i="36"/>
  <c r="S46" i="36" s="1"/>
  <c r="N46" i="36"/>
  <c r="Q39" i="37"/>
  <c r="Q22" i="37"/>
  <c r="G22" i="37"/>
  <c r="B27" i="39" l="1"/>
  <c r="U13" i="29"/>
  <c r="AB16" i="10" l="1"/>
  <c r="AE16" i="10"/>
  <c r="AH16" i="10" s="1"/>
  <c r="AE14" i="10"/>
  <c r="AH14" i="10" s="1"/>
  <c r="AD14" i="10"/>
  <c r="AB14" i="10" s="1"/>
  <c r="AC18" i="10"/>
  <c r="AB18" i="10"/>
  <c r="AH19" i="10" l="1"/>
  <c r="AH21" i="10"/>
  <c r="D34" i="11"/>
  <c r="C34" i="11"/>
  <c r="W21" i="4"/>
  <c r="E16" i="5" s="1"/>
  <c r="E34" i="11" l="1"/>
  <c r="F16" i="5"/>
  <c r="AF19" i="10" l="1"/>
  <c r="AJ46" i="6"/>
  <c r="U14" i="29" l="1"/>
  <c r="Z15" i="29"/>
  <c r="S20" i="4"/>
  <c r="S19" i="4"/>
  <c r="S18" i="4"/>
  <c r="S17" i="4"/>
  <c r="S16" i="4"/>
  <c r="S15" i="4"/>
  <c r="S14" i="4"/>
  <c r="AA21" i="4"/>
  <c r="AB45" i="6"/>
  <c r="AB44" i="6"/>
  <c r="AB43" i="6"/>
  <c r="AB42" i="6"/>
  <c r="AB41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0" i="6"/>
  <c r="AB19" i="6"/>
  <c r="AB18" i="6"/>
  <c r="AB17" i="6"/>
  <c r="AB16" i="6"/>
  <c r="AB14" i="6"/>
  <c r="W13" i="29" l="1"/>
  <c r="Q103" i="34" l="1"/>
  <c r="Q38" i="38" l="1"/>
  <c r="P38" i="38" s="1"/>
  <c r="E15" i="33"/>
  <c r="D15" i="33"/>
  <c r="D14" i="11" s="1"/>
  <c r="C15" i="33"/>
  <c r="C14" i="11" s="1"/>
  <c r="G15" i="33" l="1"/>
  <c r="F15" i="33"/>
  <c r="V14" i="29"/>
  <c r="F16" i="38"/>
  <c r="V16" i="38"/>
  <c r="W16" i="38"/>
  <c r="X16" i="38"/>
  <c r="Y16" i="38"/>
  <c r="G17" i="38"/>
  <c r="H17" i="38"/>
  <c r="I17" i="38"/>
  <c r="J17" i="38"/>
  <c r="L17" i="38"/>
  <c r="M17" i="38"/>
  <c r="N17" i="38"/>
  <c r="O17" i="38"/>
  <c r="Q17" i="38"/>
  <c r="R17" i="38"/>
  <c r="S17" i="38"/>
  <c r="T17" i="38"/>
  <c r="P17" i="38" s="1"/>
  <c r="V17" i="38"/>
  <c r="W17" i="38"/>
  <c r="X17" i="38"/>
  <c r="Y17" i="38"/>
  <c r="F18" i="38"/>
  <c r="V18" i="38"/>
  <c r="W18" i="38"/>
  <c r="X18" i="38"/>
  <c r="Y18" i="38"/>
  <c r="F19" i="38"/>
  <c r="V19" i="38"/>
  <c r="W19" i="38"/>
  <c r="X19" i="38"/>
  <c r="Y19" i="38"/>
  <c r="G20" i="38"/>
  <c r="H20" i="38"/>
  <c r="I20" i="38"/>
  <c r="J20" i="38"/>
  <c r="L20" i="38"/>
  <c r="M20" i="38"/>
  <c r="N20" i="38"/>
  <c r="O20" i="38"/>
  <c r="Q20" i="38"/>
  <c r="R20" i="38"/>
  <c r="S20" i="38"/>
  <c r="T20" i="38"/>
  <c r="V20" i="38"/>
  <c r="W20" i="38"/>
  <c r="X20" i="38"/>
  <c r="F21" i="38"/>
  <c r="V21" i="38"/>
  <c r="W21" i="38"/>
  <c r="X21" i="38"/>
  <c r="Y21" i="38"/>
  <c r="F22" i="38"/>
  <c r="V22" i="38"/>
  <c r="W22" i="38"/>
  <c r="X22" i="38"/>
  <c r="Y22" i="38"/>
  <c r="F23" i="38"/>
  <c r="V23" i="38"/>
  <c r="W23" i="38"/>
  <c r="X23" i="38"/>
  <c r="Y23" i="38"/>
  <c r="F24" i="38"/>
  <c r="V24" i="38"/>
  <c r="W24" i="38"/>
  <c r="X24" i="38"/>
  <c r="Y24" i="38"/>
  <c r="F25" i="38"/>
  <c r="V25" i="38"/>
  <c r="W25" i="38"/>
  <c r="X25" i="38"/>
  <c r="Y25" i="38"/>
  <c r="G26" i="38"/>
  <c r="H26" i="38"/>
  <c r="I26" i="38"/>
  <c r="J26" i="38"/>
  <c r="L26" i="38"/>
  <c r="M26" i="38"/>
  <c r="N26" i="38"/>
  <c r="O26" i="38"/>
  <c r="Q26" i="38"/>
  <c r="R26" i="38"/>
  <c r="S26" i="38"/>
  <c r="X26" i="38" s="1"/>
  <c r="T26" i="38"/>
  <c r="V26" i="38"/>
  <c r="W26" i="38"/>
  <c r="F27" i="38"/>
  <c r="V27" i="38"/>
  <c r="W27" i="38"/>
  <c r="X27" i="38"/>
  <c r="Y27" i="38"/>
  <c r="F28" i="38"/>
  <c r="V28" i="38"/>
  <c r="W28" i="38"/>
  <c r="X28" i="38"/>
  <c r="Y28" i="38"/>
  <c r="F29" i="38"/>
  <c r="V29" i="38"/>
  <c r="W29" i="38"/>
  <c r="X29" i="38"/>
  <c r="Y29" i="38"/>
  <c r="F30" i="38"/>
  <c r="V30" i="38"/>
  <c r="W30" i="38"/>
  <c r="X30" i="38"/>
  <c r="Y30" i="38"/>
  <c r="F31" i="38"/>
  <c r="V31" i="38"/>
  <c r="W31" i="38"/>
  <c r="X31" i="38"/>
  <c r="Y31" i="38"/>
  <c r="F32" i="38"/>
  <c r="V32" i="38"/>
  <c r="W32" i="38"/>
  <c r="X32" i="38"/>
  <c r="Y32" i="38"/>
  <c r="G33" i="38"/>
  <c r="H33" i="38"/>
  <c r="I33" i="38"/>
  <c r="J33" i="38"/>
  <c r="L33" i="38"/>
  <c r="M33" i="38"/>
  <c r="N33" i="38"/>
  <c r="O33" i="38"/>
  <c r="Q33" i="38"/>
  <c r="R33" i="38"/>
  <c r="W33" i="38" s="1"/>
  <c r="S33" i="38"/>
  <c r="X33" i="38" s="1"/>
  <c r="T33" i="38"/>
  <c r="F34" i="38"/>
  <c r="V34" i="38"/>
  <c r="W34" i="38"/>
  <c r="X34" i="38"/>
  <c r="Y34" i="38"/>
  <c r="F35" i="38"/>
  <c r="V35" i="38"/>
  <c r="W35" i="38"/>
  <c r="X35" i="38"/>
  <c r="Y35" i="38"/>
  <c r="F36" i="38"/>
  <c r="V36" i="38"/>
  <c r="W36" i="38"/>
  <c r="X36" i="38"/>
  <c r="Y36" i="38"/>
  <c r="F37" i="38"/>
  <c r="V37" i="38"/>
  <c r="W37" i="38"/>
  <c r="X37" i="38"/>
  <c r="Y37" i="38"/>
  <c r="F38" i="38"/>
  <c r="V38" i="38"/>
  <c r="W38" i="38"/>
  <c r="X38" i="38"/>
  <c r="Y38" i="38"/>
  <c r="G39" i="38"/>
  <c r="H39" i="38"/>
  <c r="I39" i="38"/>
  <c r="J39" i="38"/>
  <c r="L39" i="38"/>
  <c r="M39" i="38"/>
  <c r="N39" i="38"/>
  <c r="O39" i="38"/>
  <c r="Q39" i="38"/>
  <c r="R39" i="38"/>
  <c r="W39" i="38" s="1"/>
  <c r="S39" i="38"/>
  <c r="X39" i="38" s="1"/>
  <c r="T39" i="38"/>
  <c r="F40" i="38"/>
  <c r="V40" i="38"/>
  <c r="W40" i="38"/>
  <c r="X40" i="38"/>
  <c r="Y40" i="38"/>
  <c r="F41" i="38"/>
  <c r="V41" i="38"/>
  <c r="W41" i="38"/>
  <c r="X41" i="38"/>
  <c r="Y41" i="38"/>
  <c r="G42" i="38"/>
  <c r="H42" i="38"/>
  <c r="I42" i="38"/>
  <c r="J42" i="38"/>
  <c r="L42" i="38"/>
  <c r="M42" i="38"/>
  <c r="N42" i="38"/>
  <c r="O42" i="38"/>
  <c r="Q42" i="38"/>
  <c r="R42" i="38"/>
  <c r="W42" i="38" s="1"/>
  <c r="S42" i="38"/>
  <c r="X42" i="38" s="1"/>
  <c r="T42" i="38"/>
  <c r="F43" i="38"/>
  <c r="V43" i="38"/>
  <c r="W43" i="38"/>
  <c r="X43" i="38"/>
  <c r="Y43" i="38"/>
  <c r="F44" i="38"/>
  <c r="V44" i="38"/>
  <c r="W44" i="38"/>
  <c r="X44" i="38"/>
  <c r="Y44" i="38"/>
  <c r="G45" i="38"/>
  <c r="H45" i="38"/>
  <c r="I45" i="38"/>
  <c r="J45" i="38"/>
  <c r="L45" i="38"/>
  <c r="M45" i="38"/>
  <c r="N45" i="38"/>
  <c r="O45" i="38"/>
  <c r="Q45" i="38"/>
  <c r="R45" i="38"/>
  <c r="W45" i="38" s="1"/>
  <c r="S45" i="38"/>
  <c r="X45" i="38" s="1"/>
  <c r="T45" i="38"/>
  <c r="Y45" i="38" s="1"/>
  <c r="F46" i="38"/>
  <c r="V46" i="38"/>
  <c r="W46" i="38"/>
  <c r="X46" i="38"/>
  <c r="Y46" i="38"/>
  <c r="F47" i="38"/>
  <c r="V47" i="38"/>
  <c r="W47" i="38"/>
  <c r="X47" i="38"/>
  <c r="Y47" i="38"/>
  <c r="F48" i="38"/>
  <c r="V48" i="38"/>
  <c r="W48" i="38"/>
  <c r="X48" i="38"/>
  <c r="Y48" i="38"/>
  <c r="F49" i="38"/>
  <c r="V49" i="38"/>
  <c r="W49" i="38"/>
  <c r="X49" i="38"/>
  <c r="Y49" i="38"/>
  <c r="G50" i="38"/>
  <c r="H50" i="38"/>
  <c r="I50" i="38"/>
  <c r="J50" i="38"/>
  <c r="L50" i="38"/>
  <c r="M50" i="38"/>
  <c r="N50" i="38"/>
  <c r="O50" i="38"/>
  <c r="Q50" i="38"/>
  <c r="R50" i="38"/>
  <c r="S50" i="38"/>
  <c r="X50" i="38" s="1"/>
  <c r="T50" i="38"/>
  <c r="Y50" i="38" s="1"/>
  <c r="W50" i="38"/>
  <c r="F51" i="38"/>
  <c r="V51" i="38"/>
  <c r="W51" i="38"/>
  <c r="X51" i="38"/>
  <c r="Y51" i="38"/>
  <c r="F52" i="38"/>
  <c r="V52" i="38"/>
  <c r="W52" i="38"/>
  <c r="X52" i="38"/>
  <c r="Y52" i="38"/>
  <c r="F53" i="38"/>
  <c r="V53" i="38"/>
  <c r="W53" i="38"/>
  <c r="X53" i="38"/>
  <c r="Y53" i="38"/>
  <c r="F54" i="38"/>
  <c r="V54" i="38"/>
  <c r="W54" i="38"/>
  <c r="X54" i="38"/>
  <c r="Y54" i="38"/>
  <c r="F55" i="38"/>
  <c r="V55" i="38"/>
  <c r="W55" i="38"/>
  <c r="X55" i="38"/>
  <c r="Y55" i="38"/>
  <c r="G56" i="38"/>
  <c r="H56" i="38"/>
  <c r="I56" i="38"/>
  <c r="J56" i="38"/>
  <c r="L56" i="38"/>
  <c r="M56" i="38"/>
  <c r="N56" i="38"/>
  <c r="O56" i="38"/>
  <c r="Q56" i="38"/>
  <c r="R56" i="38"/>
  <c r="W56" i="38" s="1"/>
  <c r="S56" i="38"/>
  <c r="X56" i="38" s="1"/>
  <c r="T56" i="38"/>
  <c r="Y56" i="38" s="1"/>
  <c r="F57" i="38"/>
  <c r="V57" i="38"/>
  <c r="W57" i="38"/>
  <c r="X57" i="38"/>
  <c r="Y57" i="38"/>
  <c r="G58" i="38"/>
  <c r="H58" i="38"/>
  <c r="I58" i="38"/>
  <c r="J58" i="38"/>
  <c r="L58" i="38"/>
  <c r="M58" i="38"/>
  <c r="N58" i="38"/>
  <c r="O58" i="38"/>
  <c r="Q58" i="38"/>
  <c r="R58" i="38"/>
  <c r="W58" i="38" s="1"/>
  <c r="S58" i="38"/>
  <c r="X58" i="38" s="1"/>
  <c r="T58" i="38"/>
  <c r="Y58" i="38" s="1"/>
  <c r="F59" i="38"/>
  <c r="V59" i="38"/>
  <c r="W59" i="38"/>
  <c r="X59" i="38"/>
  <c r="Y59" i="38"/>
  <c r="F60" i="38"/>
  <c r="V60" i="38"/>
  <c r="W60" i="38"/>
  <c r="X60" i="38"/>
  <c r="Y60" i="38"/>
  <c r="F61" i="38"/>
  <c r="V61" i="38"/>
  <c r="W61" i="38"/>
  <c r="X61" i="38"/>
  <c r="Y61" i="38"/>
  <c r="G62" i="38"/>
  <c r="H62" i="38"/>
  <c r="I62" i="38"/>
  <c r="J62" i="38"/>
  <c r="L62" i="38"/>
  <c r="M62" i="38"/>
  <c r="N62" i="38"/>
  <c r="O62" i="38"/>
  <c r="Q62" i="38"/>
  <c r="R62" i="38"/>
  <c r="W62" i="38" s="1"/>
  <c r="S62" i="38"/>
  <c r="X62" i="38" s="1"/>
  <c r="T62" i="38"/>
  <c r="F63" i="38"/>
  <c r="V63" i="38"/>
  <c r="W63" i="38"/>
  <c r="X63" i="38"/>
  <c r="Y63" i="38"/>
  <c r="F64" i="38"/>
  <c r="O64" i="38"/>
  <c r="K64" i="38" s="1"/>
  <c r="V64" i="38"/>
  <c r="W64" i="38"/>
  <c r="X64" i="38"/>
  <c r="Y64" i="38"/>
  <c r="G65" i="38"/>
  <c r="H65" i="38"/>
  <c r="I65" i="38"/>
  <c r="J65" i="38"/>
  <c r="L65" i="38"/>
  <c r="M65" i="38"/>
  <c r="N65" i="38"/>
  <c r="O65" i="38"/>
  <c r="Q65" i="38"/>
  <c r="R65" i="38"/>
  <c r="W65" i="38" s="1"/>
  <c r="S65" i="38"/>
  <c r="X65" i="38" s="1"/>
  <c r="T65" i="38"/>
  <c r="F66" i="38"/>
  <c r="V66" i="38"/>
  <c r="W66" i="38"/>
  <c r="X66" i="38"/>
  <c r="Y66" i="38"/>
  <c r="F67" i="38"/>
  <c r="V67" i="38"/>
  <c r="W67" i="38"/>
  <c r="X67" i="38"/>
  <c r="Y67" i="38"/>
  <c r="F68" i="38"/>
  <c r="V68" i="38"/>
  <c r="W68" i="38"/>
  <c r="X68" i="38"/>
  <c r="Y68" i="38"/>
  <c r="G69" i="38"/>
  <c r="H69" i="38"/>
  <c r="I69" i="38"/>
  <c r="J69" i="38"/>
  <c r="L69" i="38"/>
  <c r="M69" i="38"/>
  <c r="N69" i="38"/>
  <c r="O69" i="38"/>
  <c r="Q69" i="38"/>
  <c r="R69" i="38"/>
  <c r="W69" i="38" s="1"/>
  <c r="S69" i="38"/>
  <c r="X69" i="38" s="1"/>
  <c r="T69" i="38"/>
  <c r="F70" i="38"/>
  <c r="V70" i="38"/>
  <c r="W70" i="38"/>
  <c r="X70" i="38"/>
  <c r="Y70" i="38"/>
  <c r="G71" i="38"/>
  <c r="H71" i="38"/>
  <c r="I71" i="38"/>
  <c r="J71" i="38"/>
  <c r="L71" i="38"/>
  <c r="M71" i="38"/>
  <c r="N71" i="38"/>
  <c r="O71" i="38"/>
  <c r="Q71" i="38"/>
  <c r="R71" i="38"/>
  <c r="W71" i="38" s="1"/>
  <c r="S71" i="38"/>
  <c r="X71" i="38" s="1"/>
  <c r="T71" i="38"/>
  <c r="Y71" i="38" s="1"/>
  <c r="F72" i="38"/>
  <c r="V72" i="38"/>
  <c r="W72" i="38"/>
  <c r="X72" i="38"/>
  <c r="Y72" i="38"/>
  <c r="F73" i="38"/>
  <c r="V73" i="38"/>
  <c r="W73" i="38"/>
  <c r="X73" i="38"/>
  <c r="Y73" i="38"/>
  <c r="F74" i="38"/>
  <c r="V74" i="38"/>
  <c r="W74" i="38"/>
  <c r="X74" i="38"/>
  <c r="Y74" i="38"/>
  <c r="G75" i="38"/>
  <c r="H75" i="38"/>
  <c r="I75" i="38"/>
  <c r="J75" i="38"/>
  <c r="L75" i="38"/>
  <c r="M75" i="38"/>
  <c r="N75" i="38"/>
  <c r="O75" i="38"/>
  <c r="Q75" i="38"/>
  <c r="R75" i="38"/>
  <c r="W75" i="38" s="1"/>
  <c r="S75" i="38"/>
  <c r="X75" i="38" s="1"/>
  <c r="Y75" i="38"/>
  <c r="F76" i="38"/>
  <c r="V76" i="38"/>
  <c r="W76" i="38"/>
  <c r="X76" i="38"/>
  <c r="Y76" i="38"/>
  <c r="F77" i="38"/>
  <c r="V77" i="38"/>
  <c r="W77" i="38"/>
  <c r="X77" i="38"/>
  <c r="Y77" i="38"/>
  <c r="F78" i="38"/>
  <c r="V78" i="38"/>
  <c r="W78" i="38"/>
  <c r="X78" i="38"/>
  <c r="Y78" i="38"/>
  <c r="G79" i="38"/>
  <c r="H79" i="38"/>
  <c r="I79" i="38"/>
  <c r="J79" i="38"/>
  <c r="L79" i="38"/>
  <c r="M79" i="38"/>
  <c r="N79" i="38"/>
  <c r="O79" i="38"/>
  <c r="Q79" i="38"/>
  <c r="R79" i="38"/>
  <c r="W79" i="38" s="1"/>
  <c r="S79" i="38"/>
  <c r="X79" i="38" s="1"/>
  <c r="T79" i="38"/>
  <c r="V79" i="38"/>
  <c r="F80" i="38"/>
  <c r="V80" i="38"/>
  <c r="W80" i="38"/>
  <c r="X80" i="38"/>
  <c r="Y80" i="38"/>
  <c r="F81" i="38"/>
  <c r="V81" i="38"/>
  <c r="W81" i="38"/>
  <c r="X81" i="38"/>
  <c r="Y81" i="38"/>
  <c r="F82" i="38"/>
  <c r="V82" i="38"/>
  <c r="W82" i="38"/>
  <c r="X82" i="38"/>
  <c r="Y82" i="38"/>
  <c r="G83" i="38"/>
  <c r="H83" i="38"/>
  <c r="I83" i="38"/>
  <c r="J83" i="38"/>
  <c r="L83" i="38"/>
  <c r="M83" i="38"/>
  <c r="N83" i="38"/>
  <c r="O83" i="38"/>
  <c r="Q83" i="38"/>
  <c r="R83" i="38"/>
  <c r="W83" i="38" s="1"/>
  <c r="S83" i="38"/>
  <c r="X83" i="38" s="1"/>
  <c r="T83" i="38"/>
  <c r="V83" i="38"/>
  <c r="F84" i="38"/>
  <c r="V84" i="38"/>
  <c r="W84" i="38"/>
  <c r="X84" i="38"/>
  <c r="Y84" i="38"/>
  <c r="G85" i="38"/>
  <c r="H85" i="38"/>
  <c r="I85" i="38"/>
  <c r="J85" i="38"/>
  <c r="L85" i="38"/>
  <c r="M85" i="38"/>
  <c r="N85" i="38"/>
  <c r="O85" i="38"/>
  <c r="Q85" i="38"/>
  <c r="R85" i="38"/>
  <c r="W85" i="38" s="1"/>
  <c r="S85" i="38"/>
  <c r="X85" i="38" s="1"/>
  <c r="T85" i="38"/>
  <c r="Y85" i="38" s="1"/>
  <c r="V85" i="38"/>
  <c r="F86" i="38"/>
  <c r="V86" i="38"/>
  <c r="W86" i="38"/>
  <c r="X86" i="38"/>
  <c r="Y86" i="38"/>
  <c r="F87" i="38"/>
  <c r="V87" i="38"/>
  <c r="W87" i="38"/>
  <c r="X87" i="38"/>
  <c r="Y87" i="38"/>
  <c r="F88" i="38"/>
  <c r="V88" i="38"/>
  <c r="W88" i="38"/>
  <c r="X88" i="38"/>
  <c r="Y88" i="38"/>
  <c r="F89" i="38"/>
  <c r="V89" i="38"/>
  <c r="W89" i="38"/>
  <c r="X89" i="38"/>
  <c r="Y89" i="38"/>
  <c r="F90" i="38"/>
  <c r="V90" i="38"/>
  <c r="W90" i="38"/>
  <c r="X90" i="38"/>
  <c r="Y90" i="38"/>
  <c r="G91" i="38"/>
  <c r="H91" i="38"/>
  <c r="I91" i="38"/>
  <c r="J91" i="38"/>
  <c r="L91" i="38"/>
  <c r="M91" i="38"/>
  <c r="N91" i="38"/>
  <c r="O91" i="38"/>
  <c r="Q91" i="38"/>
  <c r="R91" i="38"/>
  <c r="W91" i="38" s="1"/>
  <c r="S91" i="38"/>
  <c r="X91" i="38" s="1"/>
  <c r="T91" i="38"/>
  <c r="V91" i="38"/>
  <c r="F92" i="38"/>
  <c r="V92" i="38"/>
  <c r="W92" i="38"/>
  <c r="X92" i="38"/>
  <c r="Y92" i="38"/>
  <c r="G93" i="38"/>
  <c r="H93" i="38"/>
  <c r="I93" i="38"/>
  <c r="J93" i="38"/>
  <c r="L93" i="38"/>
  <c r="M93" i="38"/>
  <c r="N93" i="38"/>
  <c r="O93" i="38"/>
  <c r="Q93" i="38"/>
  <c r="R93" i="38"/>
  <c r="S93" i="38"/>
  <c r="X93" i="38" s="1"/>
  <c r="T93" i="38"/>
  <c r="Y93" i="38" s="1"/>
  <c r="V93" i="38"/>
  <c r="F94" i="38"/>
  <c r="V94" i="38"/>
  <c r="W94" i="38"/>
  <c r="X94" i="38"/>
  <c r="Y94" i="38"/>
  <c r="G95" i="38"/>
  <c r="H95" i="38"/>
  <c r="I95" i="38"/>
  <c r="J95" i="38"/>
  <c r="L95" i="38"/>
  <c r="M95" i="38"/>
  <c r="N95" i="38"/>
  <c r="O95" i="38"/>
  <c r="Q95" i="38"/>
  <c r="R95" i="38"/>
  <c r="W95" i="38" s="1"/>
  <c r="S95" i="38"/>
  <c r="X95" i="38" s="1"/>
  <c r="T95" i="38"/>
  <c r="Y95" i="38" s="1"/>
  <c r="F96" i="38"/>
  <c r="V96" i="38"/>
  <c r="W96" i="38"/>
  <c r="X96" i="38"/>
  <c r="Y96" i="38"/>
  <c r="G97" i="38"/>
  <c r="H97" i="38"/>
  <c r="I97" i="38"/>
  <c r="J97" i="38"/>
  <c r="L97" i="38"/>
  <c r="M97" i="38"/>
  <c r="N97" i="38"/>
  <c r="O97" i="38"/>
  <c r="Q97" i="38"/>
  <c r="R97" i="38"/>
  <c r="W97" i="38" s="1"/>
  <c r="S97" i="38"/>
  <c r="X97" i="38" s="1"/>
  <c r="T97" i="38"/>
  <c r="Y97" i="38" s="1"/>
  <c r="F98" i="38"/>
  <c r="V98" i="38"/>
  <c r="W98" i="38"/>
  <c r="X98" i="38"/>
  <c r="Y98" i="38"/>
  <c r="G99" i="38"/>
  <c r="H99" i="38"/>
  <c r="I99" i="38"/>
  <c r="J99" i="38"/>
  <c r="L99" i="38"/>
  <c r="M99" i="38"/>
  <c r="N99" i="38"/>
  <c r="O99" i="38"/>
  <c r="Q99" i="38"/>
  <c r="R99" i="38"/>
  <c r="W99" i="38" s="1"/>
  <c r="S99" i="38"/>
  <c r="X99" i="38" s="1"/>
  <c r="T99" i="38"/>
  <c r="Y99" i="38" s="1"/>
  <c r="F16" i="37"/>
  <c r="U16" i="37" s="1"/>
  <c r="V16" i="37"/>
  <c r="W16" i="37"/>
  <c r="X16" i="37"/>
  <c r="Y16" i="37"/>
  <c r="F17" i="37"/>
  <c r="U17" i="37" s="1"/>
  <c r="V17" i="37"/>
  <c r="W17" i="37"/>
  <c r="X17" i="37"/>
  <c r="Y17" i="37"/>
  <c r="F18" i="37"/>
  <c r="U18" i="37" s="1"/>
  <c r="V18" i="37"/>
  <c r="W18" i="37"/>
  <c r="X18" i="37"/>
  <c r="Y18" i="37"/>
  <c r="F19" i="37"/>
  <c r="U19" i="37" s="1"/>
  <c r="V19" i="37"/>
  <c r="W19" i="37"/>
  <c r="X19" i="37"/>
  <c r="Y19" i="37"/>
  <c r="F20" i="37"/>
  <c r="U20" i="37" s="1"/>
  <c r="V20" i="37"/>
  <c r="W20" i="37"/>
  <c r="X20" i="37"/>
  <c r="Y20" i="37"/>
  <c r="F21" i="37"/>
  <c r="U21" i="37" s="1"/>
  <c r="V21" i="37"/>
  <c r="W21" i="37"/>
  <c r="X21" i="37"/>
  <c r="Y21" i="37"/>
  <c r="H22" i="37"/>
  <c r="I22" i="37"/>
  <c r="J22" i="37"/>
  <c r="L22" i="37"/>
  <c r="M22" i="37"/>
  <c r="N22" i="37"/>
  <c r="O22" i="37"/>
  <c r="R22" i="37"/>
  <c r="S22" i="37"/>
  <c r="T22" i="37"/>
  <c r="F23" i="37"/>
  <c r="U23" i="37" s="1"/>
  <c r="V23" i="37"/>
  <c r="W23" i="37"/>
  <c r="X23" i="37"/>
  <c r="Y23" i="37"/>
  <c r="F24" i="37"/>
  <c r="U24" i="37" s="1"/>
  <c r="V24" i="37"/>
  <c r="W24" i="37"/>
  <c r="X24" i="37"/>
  <c r="Y24" i="37"/>
  <c r="F25" i="37"/>
  <c r="U25" i="37" s="1"/>
  <c r="V25" i="37"/>
  <c r="W25" i="37"/>
  <c r="X25" i="37"/>
  <c r="Y25" i="37"/>
  <c r="F26" i="37"/>
  <c r="U26" i="37" s="1"/>
  <c r="V26" i="37"/>
  <c r="W26" i="37"/>
  <c r="X26" i="37"/>
  <c r="Y26" i="37"/>
  <c r="F27" i="37"/>
  <c r="U27" i="37" s="1"/>
  <c r="V27" i="37"/>
  <c r="W27" i="37"/>
  <c r="X27" i="37"/>
  <c r="Y27" i="37"/>
  <c r="F28" i="37"/>
  <c r="V28" i="37"/>
  <c r="W28" i="37"/>
  <c r="X28" i="37"/>
  <c r="Y28" i="37"/>
  <c r="G29" i="37"/>
  <c r="H29" i="37"/>
  <c r="I29" i="37"/>
  <c r="J29" i="37"/>
  <c r="L29" i="37"/>
  <c r="M29" i="37"/>
  <c r="N29" i="37"/>
  <c r="O29" i="37"/>
  <c r="Q29" i="37"/>
  <c r="R29" i="37"/>
  <c r="S29" i="37"/>
  <c r="X29" i="37" s="1"/>
  <c r="T29" i="37"/>
  <c r="F30" i="37"/>
  <c r="U30" i="37" s="1"/>
  <c r="V30" i="37"/>
  <c r="W30" i="37"/>
  <c r="X30" i="37"/>
  <c r="Y30" i="37"/>
  <c r="G31" i="37"/>
  <c r="H31" i="37"/>
  <c r="I31" i="37"/>
  <c r="J31" i="37"/>
  <c r="L31" i="37"/>
  <c r="M31" i="37"/>
  <c r="N31" i="37"/>
  <c r="O31" i="37"/>
  <c r="Q31" i="37"/>
  <c r="R31" i="37"/>
  <c r="W31" i="37" s="1"/>
  <c r="S31" i="37"/>
  <c r="X31" i="37" s="1"/>
  <c r="T31" i="37"/>
  <c r="Y31" i="37"/>
  <c r="F32" i="37"/>
  <c r="U32" i="37" s="1"/>
  <c r="V32" i="37"/>
  <c r="W32" i="37"/>
  <c r="X32" i="37"/>
  <c r="Y32" i="37"/>
  <c r="F33" i="37"/>
  <c r="U33" i="37" s="1"/>
  <c r="V33" i="37"/>
  <c r="W33" i="37"/>
  <c r="X33" i="37"/>
  <c r="Y33" i="37"/>
  <c r="F34" i="37"/>
  <c r="U34" i="37" s="1"/>
  <c r="V34" i="37"/>
  <c r="W34" i="37"/>
  <c r="X34" i="37"/>
  <c r="Y34" i="37"/>
  <c r="G35" i="37"/>
  <c r="H35" i="37"/>
  <c r="I35" i="37"/>
  <c r="J35" i="37"/>
  <c r="L35" i="37"/>
  <c r="M35" i="37"/>
  <c r="N35" i="37"/>
  <c r="O35" i="37"/>
  <c r="Q35" i="37"/>
  <c r="R35" i="37"/>
  <c r="W35" i="37" s="1"/>
  <c r="S35" i="37"/>
  <c r="X35" i="37" s="1"/>
  <c r="T35" i="37"/>
  <c r="P35" i="37" s="1"/>
  <c r="F36" i="37"/>
  <c r="U36" i="37" s="1"/>
  <c r="V36" i="37"/>
  <c r="W36" i="37"/>
  <c r="X36" i="37"/>
  <c r="Y36" i="37"/>
  <c r="F37" i="37"/>
  <c r="U37" i="37"/>
  <c r="V37" i="37"/>
  <c r="W37" i="37"/>
  <c r="X37" i="37"/>
  <c r="Y37" i="37"/>
  <c r="F38" i="37"/>
  <c r="U38" i="37" s="1"/>
  <c r="V38" i="37"/>
  <c r="W38" i="37"/>
  <c r="X38" i="37"/>
  <c r="Y38" i="37"/>
  <c r="G39" i="37"/>
  <c r="H39" i="37"/>
  <c r="I39" i="37"/>
  <c r="J39" i="37"/>
  <c r="L39" i="37"/>
  <c r="M39" i="37"/>
  <c r="N39" i="37"/>
  <c r="O39" i="37"/>
  <c r="R39" i="37"/>
  <c r="S39" i="37"/>
  <c r="T39" i="37"/>
  <c r="P39" i="37" s="1"/>
  <c r="V39" i="37"/>
  <c r="X39" i="37"/>
  <c r="F40" i="37"/>
  <c r="U40" i="37" s="1"/>
  <c r="V40" i="37"/>
  <c r="W40" i="37"/>
  <c r="X40" i="37"/>
  <c r="Y40" i="37"/>
  <c r="F41" i="37"/>
  <c r="U41" i="37" s="1"/>
  <c r="V41" i="37"/>
  <c r="W41" i="37"/>
  <c r="X41" i="37"/>
  <c r="Y41" i="37"/>
  <c r="F42" i="37"/>
  <c r="U42" i="37" s="1"/>
  <c r="V42" i="37"/>
  <c r="W42" i="37"/>
  <c r="X42" i="37"/>
  <c r="Y42" i="37"/>
  <c r="F43" i="37"/>
  <c r="U43" i="37"/>
  <c r="V43" i="37"/>
  <c r="W43" i="37"/>
  <c r="X43" i="37"/>
  <c r="Y43" i="37"/>
  <c r="F44" i="37"/>
  <c r="U44" i="37" s="1"/>
  <c r="V44" i="37"/>
  <c r="W44" i="37"/>
  <c r="X44" i="37"/>
  <c r="Y44" i="37"/>
  <c r="G45" i="37"/>
  <c r="H45" i="37"/>
  <c r="I45" i="37"/>
  <c r="J45" i="37"/>
  <c r="L45" i="37"/>
  <c r="M45" i="37"/>
  <c r="N45" i="37"/>
  <c r="O45" i="37"/>
  <c r="Q45" i="37"/>
  <c r="R45" i="37"/>
  <c r="S45" i="37"/>
  <c r="T45" i="37"/>
  <c r="P45" i="37" s="1"/>
  <c r="X45" i="37"/>
  <c r="F46" i="37"/>
  <c r="U46" i="37" s="1"/>
  <c r="V46" i="37"/>
  <c r="W46" i="37"/>
  <c r="X46" i="37"/>
  <c r="Y46" i="37"/>
  <c r="G47" i="37"/>
  <c r="H47" i="37"/>
  <c r="I47" i="37"/>
  <c r="J47" i="37"/>
  <c r="V47" i="37"/>
  <c r="W47" i="37"/>
  <c r="X47" i="37"/>
  <c r="Y47" i="37"/>
  <c r="F48" i="37"/>
  <c r="U48" i="37" s="1"/>
  <c r="V48" i="37"/>
  <c r="W48" i="37"/>
  <c r="X48" i="37"/>
  <c r="Y48" i="37"/>
  <c r="G49" i="37"/>
  <c r="H49" i="37"/>
  <c r="I49" i="37"/>
  <c r="J49" i="37"/>
  <c r="L49" i="37"/>
  <c r="M49" i="37"/>
  <c r="N49" i="37"/>
  <c r="O49" i="37"/>
  <c r="Q49" i="37"/>
  <c r="R49" i="37"/>
  <c r="W49" i="37" s="1"/>
  <c r="S49" i="37"/>
  <c r="X49" i="37" s="1"/>
  <c r="T49" i="37"/>
  <c r="Y49" i="37" s="1"/>
  <c r="F50" i="37"/>
  <c r="U50" i="37"/>
  <c r="V50" i="37"/>
  <c r="W50" i="37"/>
  <c r="X50" i="37"/>
  <c r="Y50" i="37"/>
  <c r="F51" i="37"/>
  <c r="U51" i="37" s="1"/>
  <c r="V51" i="37"/>
  <c r="W51" i="37"/>
  <c r="X51" i="37"/>
  <c r="Y51" i="37"/>
  <c r="G52" i="37"/>
  <c r="H52" i="37"/>
  <c r="I52" i="37"/>
  <c r="J52" i="37"/>
  <c r="L52" i="37"/>
  <c r="M52" i="37"/>
  <c r="N52" i="37"/>
  <c r="O52" i="37"/>
  <c r="Q52" i="37"/>
  <c r="R52" i="37"/>
  <c r="W52" i="37" s="1"/>
  <c r="S52" i="37"/>
  <c r="X52" i="37" s="1"/>
  <c r="T52" i="37"/>
  <c r="Y52" i="37"/>
  <c r="F53" i="37"/>
  <c r="U53" i="37" s="1"/>
  <c r="V53" i="37"/>
  <c r="W53" i="37"/>
  <c r="X53" i="37"/>
  <c r="Y53" i="37"/>
  <c r="G54" i="37"/>
  <c r="H54" i="37"/>
  <c r="I54" i="37"/>
  <c r="J54" i="37"/>
  <c r="L54" i="37"/>
  <c r="M54" i="37"/>
  <c r="N54" i="37"/>
  <c r="O54" i="37"/>
  <c r="Q54" i="37"/>
  <c r="R54" i="37"/>
  <c r="W54" i="37" s="1"/>
  <c r="S54" i="37"/>
  <c r="X54" i="37" s="1"/>
  <c r="T54" i="37"/>
  <c r="Y54" i="37"/>
  <c r="F55" i="37"/>
  <c r="U55" i="37" s="1"/>
  <c r="V55" i="37"/>
  <c r="W55" i="37"/>
  <c r="X55" i="37"/>
  <c r="Y55" i="37"/>
  <c r="G56" i="37"/>
  <c r="H56" i="37"/>
  <c r="I56" i="37"/>
  <c r="J56" i="37"/>
  <c r="L56" i="37"/>
  <c r="M56" i="37"/>
  <c r="N56" i="37"/>
  <c r="O56" i="37"/>
  <c r="Q56" i="37"/>
  <c r="R56" i="37"/>
  <c r="W56" i="37" s="1"/>
  <c r="S56" i="37"/>
  <c r="X56" i="37" s="1"/>
  <c r="T56" i="37"/>
  <c r="Y56" i="37"/>
  <c r="F57" i="37"/>
  <c r="U57" i="37" s="1"/>
  <c r="V57" i="37"/>
  <c r="W57" i="37"/>
  <c r="X57" i="37"/>
  <c r="Y57" i="37"/>
  <c r="G58" i="37"/>
  <c r="H58" i="37"/>
  <c r="I58" i="37"/>
  <c r="J58" i="37"/>
  <c r="L58" i="37"/>
  <c r="M58" i="37"/>
  <c r="N58" i="37"/>
  <c r="O58" i="37"/>
  <c r="Q58" i="37"/>
  <c r="R58" i="37"/>
  <c r="W58" i="37" s="1"/>
  <c r="S58" i="37"/>
  <c r="X58" i="37" s="1"/>
  <c r="T58" i="37"/>
  <c r="Y58" i="37"/>
  <c r="F59" i="37"/>
  <c r="U59" i="37" s="1"/>
  <c r="V59" i="37"/>
  <c r="W59" i="37"/>
  <c r="X59" i="37"/>
  <c r="Y59" i="37"/>
  <c r="G60" i="37"/>
  <c r="G61" i="37" s="1"/>
  <c r="H60" i="37"/>
  <c r="I60" i="37"/>
  <c r="J60" i="37"/>
  <c r="L60" i="37"/>
  <c r="M60" i="37"/>
  <c r="N60" i="37"/>
  <c r="O60" i="37"/>
  <c r="Q60" i="37"/>
  <c r="R60" i="37"/>
  <c r="W60" i="37" s="1"/>
  <c r="S60" i="37"/>
  <c r="X60" i="37" s="1"/>
  <c r="T60" i="37"/>
  <c r="Y60" i="37"/>
  <c r="I61" i="37"/>
  <c r="N61" i="37"/>
  <c r="D16" i="36"/>
  <c r="E17" i="36"/>
  <c r="F17" i="36"/>
  <c r="G17" i="36"/>
  <c r="H17" i="36"/>
  <c r="J17" i="36"/>
  <c r="K17" i="36"/>
  <c r="L17" i="36"/>
  <c r="M17" i="36"/>
  <c r="O17" i="36"/>
  <c r="P17" i="36"/>
  <c r="U17" i="36" s="1"/>
  <c r="Q17" i="36"/>
  <c r="V17" i="36" s="1"/>
  <c r="R17" i="36"/>
  <c r="W17" i="36" s="1"/>
  <c r="D18" i="36"/>
  <c r="D19" i="36"/>
  <c r="E20" i="36"/>
  <c r="F20" i="36"/>
  <c r="G20" i="36"/>
  <c r="H20" i="36"/>
  <c r="J20" i="36"/>
  <c r="K20" i="36"/>
  <c r="L20" i="36"/>
  <c r="M20" i="36"/>
  <c r="O20" i="36"/>
  <c r="P20" i="36"/>
  <c r="U20" i="36" s="1"/>
  <c r="Q20" i="36"/>
  <c r="V20" i="36" s="1"/>
  <c r="R20" i="36"/>
  <c r="W20" i="36" s="1"/>
  <c r="D21" i="36"/>
  <c r="E22" i="36"/>
  <c r="F22" i="36"/>
  <c r="G22" i="36"/>
  <c r="H22" i="36"/>
  <c r="J22" i="36"/>
  <c r="K22" i="36"/>
  <c r="L22" i="36"/>
  <c r="M22" i="36"/>
  <c r="O22" i="36"/>
  <c r="P22" i="36"/>
  <c r="U22" i="36" s="1"/>
  <c r="Q22" i="36"/>
  <c r="V22" i="36" s="1"/>
  <c r="R22" i="36"/>
  <c r="W22" i="36" s="1"/>
  <c r="D23" i="36"/>
  <c r="D24" i="36"/>
  <c r="E25" i="36"/>
  <c r="F25" i="36"/>
  <c r="G25" i="36"/>
  <c r="H25" i="36"/>
  <c r="J25" i="36"/>
  <c r="K25" i="36"/>
  <c r="L25" i="36"/>
  <c r="M25" i="36"/>
  <c r="O25" i="36"/>
  <c r="P25" i="36"/>
  <c r="U25" i="36" s="1"/>
  <c r="Q25" i="36"/>
  <c r="V25" i="36" s="1"/>
  <c r="R25" i="36"/>
  <c r="W25" i="36" s="1"/>
  <c r="D26" i="36"/>
  <c r="D27" i="36"/>
  <c r="D28" i="36"/>
  <c r="D29" i="36"/>
  <c r="E30" i="36"/>
  <c r="F30" i="36"/>
  <c r="G30" i="36"/>
  <c r="H30" i="36"/>
  <c r="J30" i="36"/>
  <c r="K30" i="36"/>
  <c r="L30" i="36"/>
  <c r="M30" i="36"/>
  <c r="O30" i="36"/>
  <c r="P30" i="36"/>
  <c r="U30" i="36" s="1"/>
  <c r="Q30" i="36"/>
  <c r="V30" i="36" s="1"/>
  <c r="R30" i="36"/>
  <c r="W30" i="36" s="1"/>
  <c r="D31" i="36"/>
  <c r="D32" i="36"/>
  <c r="E33" i="36"/>
  <c r="F33" i="36"/>
  <c r="G33" i="36"/>
  <c r="H33" i="36"/>
  <c r="J33" i="36"/>
  <c r="K33" i="36"/>
  <c r="L33" i="36"/>
  <c r="M33" i="36"/>
  <c r="O33" i="36"/>
  <c r="P33" i="36"/>
  <c r="U33" i="36" s="1"/>
  <c r="Q33" i="36"/>
  <c r="V33" i="36" s="1"/>
  <c r="R33" i="36"/>
  <c r="W33" i="36" s="1"/>
  <c r="D34" i="36"/>
  <c r="D35" i="36"/>
  <c r="D36" i="36"/>
  <c r="E37" i="36"/>
  <c r="F37" i="36"/>
  <c r="G37" i="36"/>
  <c r="H37" i="36"/>
  <c r="J37" i="36"/>
  <c r="K37" i="36"/>
  <c r="L37" i="36"/>
  <c r="M37" i="36"/>
  <c r="O37" i="36"/>
  <c r="P37" i="36"/>
  <c r="U37" i="36" s="1"/>
  <c r="Q37" i="36"/>
  <c r="V37" i="36" s="1"/>
  <c r="R37" i="36"/>
  <c r="W37" i="36" s="1"/>
  <c r="D38" i="36"/>
  <c r="K38" i="36"/>
  <c r="K41" i="36" s="1"/>
  <c r="M38" i="36"/>
  <c r="M41" i="36" s="1"/>
  <c r="D39" i="36"/>
  <c r="D40" i="36"/>
  <c r="E41" i="36"/>
  <c r="F41" i="36"/>
  <c r="G41" i="36"/>
  <c r="H41" i="36"/>
  <c r="J41" i="36"/>
  <c r="L41" i="36"/>
  <c r="O41" i="36"/>
  <c r="P41" i="36"/>
  <c r="Q41" i="36"/>
  <c r="R41" i="36"/>
  <c r="W41" i="36" s="1"/>
  <c r="D42" i="36"/>
  <c r="K42" i="36"/>
  <c r="I42" i="36" s="1"/>
  <c r="D43" i="36"/>
  <c r="D44" i="36"/>
  <c r="E45" i="36"/>
  <c r="F45" i="36"/>
  <c r="G45" i="36"/>
  <c r="H45" i="36"/>
  <c r="J45" i="36"/>
  <c r="L45" i="36"/>
  <c r="M45" i="36"/>
  <c r="O45" i="36"/>
  <c r="P45" i="36"/>
  <c r="Q45" i="36"/>
  <c r="V45" i="36" s="1"/>
  <c r="R45" i="36"/>
  <c r="D46" i="36"/>
  <c r="E47" i="36"/>
  <c r="F47" i="36"/>
  <c r="G47" i="36"/>
  <c r="H47" i="36"/>
  <c r="J47" i="36"/>
  <c r="K47" i="36"/>
  <c r="L47" i="36"/>
  <c r="M47" i="36"/>
  <c r="O47" i="36"/>
  <c r="P47" i="36"/>
  <c r="U47" i="36" s="1"/>
  <c r="Q47" i="36"/>
  <c r="V47" i="36" s="1"/>
  <c r="R47" i="36"/>
  <c r="W47" i="36" s="1"/>
  <c r="D48" i="36"/>
  <c r="E49" i="36"/>
  <c r="F49" i="36"/>
  <c r="G49" i="36"/>
  <c r="H49" i="36"/>
  <c r="J49" i="36"/>
  <c r="K49" i="36"/>
  <c r="L49" i="36"/>
  <c r="M49" i="36"/>
  <c r="O49" i="36"/>
  <c r="P49" i="36"/>
  <c r="U49" i="36" s="1"/>
  <c r="Q49" i="36"/>
  <c r="V49" i="36" s="1"/>
  <c r="R49" i="36"/>
  <c r="W49" i="36" s="1"/>
  <c r="D50" i="36"/>
  <c r="E51" i="36"/>
  <c r="F51" i="36"/>
  <c r="G51" i="36"/>
  <c r="H51" i="36"/>
  <c r="J51" i="36"/>
  <c r="K51" i="36"/>
  <c r="L51" i="36"/>
  <c r="M51" i="36"/>
  <c r="O51" i="36"/>
  <c r="P51" i="36"/>
  <c r="U51" i="36" s="1"/>
  <c r="Q51" i="36"/>
  <c r="V51" i="36" s="1"/>
  <c r="R51" i="36"/>
  <c r="W51" i="36" s="1"/>
  <c r="D52" i="36"/>
  <c r="E53" i="36"/>
  <c r="F53" i="36"/>
  <c r="G53" i="36"/>
  <c r="H53" i="36"/>
  <c r="J53" i="36"/>
  <c r="K53" i="36"/>
  <c r="L53" i="36"/>
  <c r="M53" i="36"/>
  <c r="O53" i="36"/>
  <c r="P53" i="36"/>
  <c r="U53" i="36" s="1"/>
  <c r="Q53" i="36"/>
  <c r="V53" i="36" s="1"/>
  <c r="R53" i="36"/>
  <c r="C16" i="35"/>
  <c r="D17" i="35"/>
  <c r="S17" i="35" s="1"/>
  <c r="E17" i="35"/>
  <c r="T17" i="35" s="1"/>
  <c r="F17" i="35"/>
  <c r="U17" i="35" s="1"/>
  <c r="G17" i="35"/>
  <c r="V17" i="35" s="1"/>
  <c r="C18" i="35"/>
  <c r="C19" i="35"/>
  <c r="C20" i="35"/>
  <c r="C21" i="35"/>
  <c r="D22" i="35"/>
  <c r="S22" i="35" s="1"/>
  <c r="E22" i="35"/>
  <c r="T22" i="35" s="1"/>
  <c r="F22" i="35"/>
  <c r="U22" i="35" s="1"/>
  <c r="G22" i="35"/>
  <c r="V22" i="35" s="1"/>
  <c r="C23" i="35"/>
  <c r="C24" i="35"/>
  <c r="D25" i="35"/>
  <c r="E25" i="35"/>
  <c r="T25" i="35" s="1"/>
  <c r="F25" i="35"/>
  <c r="U25" i="35" s="1"/>
  <c r="G25" i="35"/>
  <c r="V25" i="35" s="1"/>
  <c r="C26" i="35"/>
  <c r="D27" i="35"/>
  <c r="S27" i="35" s="1"/>
  <c r="E27" i="35"/>
  <c r="T27" i="35" s="1"/>
  <c r="F27" i="35"/>
  <c r="U27" i="35" s="1"/>
  <c r="G27" i="35"/>
  <c r="V27" i="35" s="1"/>
  <c r="C28" i="35"/>
  <c r="C29" i="35"/>
  <c r="D30" i="35"/>
  <c r="S30" i="35" s="1"/>
  <c r="E30" i="35"/>
  <c r="T30" i="35" s="1"/>
  <c r="F30" i="35"/>
  <c r="U30" i="35" s="1"/>
  <c r="G30" i="35"/>
  <c r="V30" i="35" s="1"/>
  <c r="C31" i="35"/>
  <c r="C32" i="35"/>
  <c r="D33" i="35"/>
  <c r="S33" i="35" s="1"/>
  <c r="E33" i="35"/>
  <c r="T33" i="35" s="1"/>
  <c r="F33" i="35"/>
  <c r="U33" i="35" s="1"/>
  <c r="G33" i="35"/>
  <c r="V33" i="35" s="1"/>
  <c r="C34" i="35"/>
  <c r="C35" i="35"/>
  <c r="D36" i="35"/>
  <c r="S36" i="35" s="1"/>
  <c r="E36" i="35"/>
  <c r="T36" i="35" s="1"/>
  <c r="F36" i="35"/>
  <c r="U36" i="35" s="1"/>
  <c r="G36" i="35"/>
  <c r="V36" i="35" s="1"/>
  <c r="C37" i="35"/>
  <c r="C38" i="35"/>
  <c r="C39" i="35"/>
  <c r="C40" i="35"/>
  <c r="D41" i="35"/>
  <c r="S41" i="35" s="1"/>
  <c r="E41" i="35"/>
  <c r="T41" i="35" s="1"/>
  <c r="F41" i="35"/>
  <c r="U41" i="35" s="1"/>
  <c r="G41" i="35"/>
  <c r="V41" i="35" s="1"/>
  <c r="C42" i="35"/>
  <c r="D43" i="35"/>
  <c r="S43" i="35" s="1"/>
  <c r="E43" i="35"/>
  <c r="T43" i="35" s="1"/>
  <c r="F43" i="35"/>
  <c r="U43" i="35" s="1"/>
  <c r="G43" i="35"/>
  <c r="V43" i="35" s="1"/>
  <c r="C44" i="35"/>
  <c r="C45" i="35"/>
  <c r="D46" i="35"/>
  <c r="S46" i="35" s="1"/>
  <c r="E46" i="35"/>
  <c r="T46" i="35" s="1"/>
  <c r="F46" i="35"/>
  <c r="U46" i="35" s="1"/>
  <c r="G46" i="35"/>
  <c r="V46" i="35" s="1"/>
  <c r="C47" i="35"/>
  <c r="D48" i="35"/>
  <c r="S48" i="35" s="1"/>
  <c r="E48" i="35"/>
  <c r="T48" i="35" s="1"/>
  <c r="F48" i="35"/>
  <c r="G48" i="35"/>
  <c r="V48" i="35" s="1"/>
  <c r="K103" i="35"/>
  <c r="C49" i="35"/>
  <c r="C50" i="35"/>
  <c r="C51" i="35"/>
  <c r="C52" i="35"/>
  <c r="D53" i="35"/>
  <c r="E53" i="35"/>
  <c r="T53" i="35" s="1"/>
  <c r="F53" i="35"/>
  <c r="U53" i="35" s="1"/>
  <c r="G53" i="35"/>
  <c r="V53" i="35" s="1"/>
  <c r="C54" i="35"/>
  <c r="C55" i="35"/>
  <c r="C56" i="35"/>
  <c r="D57" i="35"/>
  <c r="S57" i="35" s="1"/>
  <c r="E57" i="35"/>
  <c r="T57" i="35" s="1"/>
  <c r="F57" i="35"/>
  <c r="U57" i="35" s="1"/>
  <c r="G57" i="35"/>
  <c r="L103" i="35"/>
  <c r="C58" i="35"/>
  <c r="C59" i="35"/>
  <c r="C60" i="35"/>
  <c r="C61" i="35"/>
  <c r="D62" i="35"/>
  <c r="S62" i="35" s="1"/>
  <c r="E62" i="35"/>
  <c r="T62" i="35" s="1"/>
  <c r="F62" i="35"/>
  <c r="U62" i="35" s="1"/>
  <c r="G62" i="35"/>
  <c r="V62" i="35" s="1"/>
  <c r="C63" i="35"/>
  <c r="D64" i="35"/>
  <c r="E64" i="35"/>
  <c r="T64" i="35" s="1"/>
  <c r="F64" i="35"/>
  <c r="U64" i="35" s="1"/>
  <c r="G64" i="35"/>
  <c r="V64" i="35" s="1"/>
  <c r="C65" i="35"/>
  <c r="D66" i="35"/>
  <c r="S66" i="35" s="1"/>
  <c r="E66" i="35"/>
  <c r="T66" i="35" s="1"/>
  <c r="F66" i="35"/>
  <c r="U66" i="35" s="1"/>
  <c r="G66" i="35"/>
  <c r="V66" i="35" s="1"/>
  <c r="C67" i="35"/>
  <c r="C68" i="35"/>
  <c r="C69" i="35"/>
  <c r="C70" i="35"/>
  <c r="D71" i="35"/>
  <c r="S71" i="35" s="1"/>
  <c r="E71" i="35"/>
  <c r="T71" i="35" s="1"/>
  <c r="F71" i="35"/>
  <c r="U71" i="35" s="1"/>
  <c r="G71" i="35"/>
  <c r="V71" i="35" s="1"/>
  <c r="C72" i="35"/>
  <c r="C73" i="35"/>
  <c r="C74" i="35"/>
  <c r="C75" i="35"/>
  <c r="D76" i="35"/>
  <c r="S76" i="35" s="1"/>
  <c r="E76" i="35"/>
  <c r="T76" i="35" s="1"/>
  <c r="F76" i="35"/>
  <c r="U76" i="35" s="1"/>
  <c r="G76" i="35"/>
  <c r="V76" i="35" s="1"/>
  <c r="C77" i="35"/>
  <c r="C78" i="35"/>
  <c r="C79" i="35"/>
  <c r="D80" i="35"/>
  <c r="S80" i="35" s="1"/>
  <c r="E80" i="35"/>
  <c r="T80" i="35" s="1"/>
  <c r="F80" i="35"/>
  <c r="U80" i="35" s="1"/>
  <c r="G80" i="35"/>
  <c r="V80" i="35" s="1"/>
  <c r="C81" i="35"/>
  <c r="C82" i="35"/>
  <c r="C83" i="35"/>
  <c r="D84" i="35"/>
  <c r="S84" i="35" s="1"/>
  <c r="E84" i="35"/>
  <c r="T84" i="35" s="1"/>
  <c r="F84" i="35"/>
  <c r="U84" i="35" s="1"/>
  <c r="G84" i="35"/>
  <c r="V84" i="35" s="1"/>
  <c r="C85" i="35"/>
  <c r="D86" i="35"/>
  <c r="S86" i="35" s="1"/>
  <c r="E86" i="35"/>
  <c r="T86" i="35" s="1"/>
  <c r="F86" i="35"/>
  <c r="U86" i="35" s="1"/>
  <c r="G86" i="35"/>
  <c r="V86" i="35" s="1"/>
  <c r="C87" i="35"/>
  <c r="D88" i="35"/>
  <c r="S88" i="35" s="1"/>
  <c r="E88" i="35"/>
  <c r="T88" i="35" s="1"/>
  <c r="F88" i="35"/>
  <c r="U88" i="35" s="1"/>
  <c r="G88" i="35"/>
  <c r="V88" i="35" s="1"/>
  <c r="C89" i="35"/>
  <c r="D90" i="35"/>
  <c r="S90" i="35" s="1"/>
  <c r="E90" i="35"/>
  <c r="T90" i="35" s="1"/>
  <c r="F90" i="35"/>
  <c r="U90" i="35" s="1"/>
  <c r="G90" i="35"/>
  <c r="V90" i="35" s="1"/>
  <c r="C91" i="35"/>
  <c r="D92" i="35"/>
  <c r="E92" i="35"/>
  <c r="T92" i="35" s="1"/>
  <c r="F92" i="35"/>
  <c r="U92" i="35" s="1"/>
  <c r="G92" i="35"/>
  <c r="V92" i="35" s="1"/>
  <c r="C93" i="35"/>
  <c r="D94" i="35"/>
  <c r="C95" i="35"/>
  <c r="D96" i="35"/>
  <c r="S96" i="35" s="1"/>
  <c r="E96" i="35"/>
  <c r="T96" i="35" s="1"/>
  <c r="F96" i="35"/>
  <c r="U96" i="35" s="1"/>
  <c r="G96" i="35"/>
  <c r="V96" i="35" s="1"/>
  <c r="C97" i="35"/>
  <c r="D98" i="35"/>
  <c r="S98" i="35" s="1"/>
  <c r="E98" i="35"/>
  <c r="T98" i="35" s="1"/>
  <c r="F98" i="35"/>
  <c r="U98" i="35" s="1"/>
  <c r="G98" i="35"/>
  <c r="V98" i="35" s="1"/>
  <c r="C99" i="35"/>
  <c r="D100" i="35"/>
  <c r="S100" i="35" s="1"/>
  <c r="E100" i="35"/>
  <c r="T100" i="35" s="1"/>
  <c r="F100" i="35"/>
  <c r="U100" i="35" s="1"/>
  <c r="G100" i="35"/>
  <c r="V100" i="35" s="1"/>
  <c r="C101" i="35"/>
  <c r="D102" i="35"/>
  <c r="S102" i="35" s="1"/>
  <c r="E102" i="35"/>
  <c r="F102" i="35"/>
  <c r="U102" i="35" s="1"/>
  <c r="G102" i="35"/>
  <c r="V102" i="35" s="1"/>
  <c r="F16" i="34"/>
  <c r="K16" i="34"/>
  <c r="P16" i="34"/>
  <c r="V16" i="34"/>
  <c r="W16" i="34"/>
  <c r="X16" i="34"/>
  <c r="Y16" i="34"/>
  <c r="V17" i="34"/>
  <c r="V18" i="34" s="1"/>
  <c r="W17" i="34"/>
  <c r="W18" i="34" s="1"/>
  <c r="X17" i="34"/>
  <c r="X18" i="34" s="1"/>
  <c r="Y17" i="34"/>
  <c r="Y18" i="34" s="1"/>
  <c r="V19" i="34"/>
  <c r="W19" i="34"/>
  <c r="X19" i="34"/>
  <c r="Y19" i="34"/>
  <c r="V20" i="34"/>
  <c r="W20" i="34"/>
  <c r="X20" i="34"/>
  <c r="Y20" i="34"/>
  <c r="G21" i="34"/>
  <c r="H21" i="34"/>
  <c r="I21" i="34"/>
  <c r="J21" i="34"/>
  <c r="N148" i="34"/>
  <c r="V22" i="34"/>
  <c r="W22" i="34"/>
  <c r="X22" i="34"/>
  <c r="Y22" i="34"/>
  <c r="V23" i="34"/>
  <c r="W23" i="34"/>
  <c r="X23" i="34"/>
  <c r="Y23" i="34"/>
  <c r="V24" i="34"/>
  <c r="W24" i="34"/>
  <c r="X24" i="34"/>
  <c r="Y24" i="34"/>
  <c r="V25" i="34"/>
  <c r="W25" i="34"/>
  <c r="X25" i="34"/>
  <c r="Y25" i="34"/>
  <c r="V26" i="34"/>
  <c r="W26" i="34"/>
  <c r="X26" i="34"/>
  <c r="Y26" i="34"/>
  <c r="V27" i="34"/>
  <c r="W27" i="34"/>
  <c r="X27" i="34"/>
  <c r="Y27" i="34"/>
  <c r="G28" i="34"/>
  <c r="H28" i="34"/>
  <c r="I28" i="34"/>
  <c r="J28" i="34"/>
  <c r="V29" i="34"/>
  <c r="W29" i="34"/>
  <c r="X29" i="34"/>
  <c r="Y29" i="34"/>
  <c r="V30" i="34"/>
  <c r="W30" i="34"/>
  <c r="X30" i="34"/>
  <c r="Y30" i="34"/>
  <c r="V31" i="34"/>
  <c r="W31" i="34"/>
  <c r="X31" i="34"/>
  <c r="Y31" i="34"/>
  <c r="V32" i="34"/>
  <c r="W32" i="34"/>
  <c r="X32" i="34"/>
  <c r="Y32" i="34"/>
  <c r="V33" i="34"/>
  <c r="W33" i="34"/>
  <c r="X33" i="34"/>
  <c r="Y33" i="34"/>
  <c r="V34" i="34"/>
  <c r="W34" i="34"/>
  <c r="X34" i="34"/>
  <c r="Y34" i="34"/>
  <c r="G35" i="34"/>
  <c r="H35" i="34"/>
  <c r="I35" i="34"/>
  <c r="J35" i="34"/>
  <c r="V36" i="34"/>
  <c r="W36" i="34"/>
  <c r="X36" i="34"/>
  <c r="Y36" i="34"/>
  <c r="V37" i="34"/>
  <c r="W37" i="34"/>
  <c r="X37" i="34"/>
  <c r="Y37" i="34"/>
  <c r="V38" i="34"/>
  <c r="W38" i="34"/>
  <c r="X38" i="34"/>
  <c r="Y38" i="34"/>
  <c r="V39" i="34"/>
  <c r="W39" i="34"/>
  <c r="X39" i="34"/>
  <c r="Y39" i="34"/>
  <c r="V40" i="34"/>
  <c r="W40" i="34"/>
  <c r="X40" i="34"/>
  <c r="Y40" i="34"/>
  <c r="V41" i="34"/>
  <c r="W41" i="34"/>
  <c r="X41" i="34"/>
  <c r="Y41" i="34"/>
  <c r="G42" i="34"/>
  <c r="H42" i="34"/>
  <c r="I42" i="34"/>
  <c r="J42" i="34"/>
  <c r="V43" i="34"/>
  <c r="W43" i="34"/>
  <c r="X43" i="34"/>
  <c r="Y43" i="34"/>
  <c r="V44" i="34"/>
  <c r="W44" i="34"/>
  <c r="X44" i="34"/>
  <c r="Y44" i="34"/>
  <c r="V45" i="34"/>
  <c r="W45" i="34"/>
  <c r="X45" i="34"/>
  <c r="Y45" i="34"/>
  <c r="G46" i="34"/>
  <c r="H46" i="34"/>
  <c r="I46" i="34"/>
  <c r="J46" i="34"/>
  <c r="V47" i="34"/>
  <c r="V48" i="34" s="1"/>
  <c r="W47" i="34"/>
  <c r="W48" i="34" s="1"/>
  <c r="X47" i="34"/>
  <c r="X48" i="34" s="1"/>
  <c r="Y47" i="34"/>
  <c r="Y48" i="34" s="1"/>
  <c r="G48" i="34"/>
  <c r="H48" i="34"/>
  <c r="I48" i="34"/>
  <c r="J48" i="34"/>
  <c r="V49" i="34"/>
  <c r="V50" i="34" s="1"/>
  <c r="W49" i="34"/>
  <c r="W50" i="34" s="1"/>
  <c r="X49" i="34"/>
  <c r="X50" i="34" s="1"/>
  <c r="Y49" i="34"/>
  <c r="Y50" i="34" s="1"/>
  <c r="G50" i="34"/>
  <c r="H50" i="34"/>
  <c r="I50" i="34"/>
  <c r="J50" i="34"/>
  <c r="V51" i="34"/>
  <c r="W51" i="34"/>
  <c r="X51" i="34"/>
  <c r="Y51" i="34"/>
  <c r="V52" i="34"/>
  <c r="W52" i="34"/>
  <c r="X52" i="34"/>
  <c r="Y52" i="34"/>
  <c r="V53" i="34"/>
  <c r="W53" i="34"/>
  <c r="X53" i="34"/>
  <c r="Y53" i="34"/>
  <c r="G54" i="34"/>
  <c r="H54" i="34"/>
  <c r="I54" i="34"/>
  <c r="J54" i="34"/>
  <c r="V55" i="34"/>
  <c r="W55" i="34"/>
  <c r="X55" i="34"/>
  <c r="Y55" i="34"/>
  <c r="V56" i="34"/>
  <c r="W56" i="34"/>
  <c r="X56" i="34"/>
  <c r="Y56" i="34"/>
  <c r="G57" i="34"/>
  <c r="H57" i="34"/>
  <c r="I57" i="34"/>
  <c r="J57" i="34"/>
  <c r="L58" i="34"/>
  <c r="V58" i="34"/>
  <c r="W58" i="34"/>
  <c r="X58" i="34"/>
  <c r="Y58" i="34"/>
  <c r="V59" i="34"/>
  <c r="W59" i="34"/>
  <c r="X59" i="34"/>
  <c r="Y59" i="34"/>
  <c r="G60" i="34"/>
  <c r="H60" i="34"/>
  <c r="I60" i="34"/>
  <c r="J60" i="34"/>
  <c r="O148" i="34"/>
  <c r="V61" i="34"/>
  <c r="W61" i="34"/>
  <c r="X61" i="34"/>
  <c r="Y61" i="34"/>
  <c r="V62" i="34"/>
  <c r="W62" i="34"/>
  <c r="X62" i="34"/>
  <c r="Y62" i="34"/>
  <c r="G63" i="34"/>
  <c r="H63" i="34"/>
  <c r="I63" i="34"/>
  <c r="J63" i="34"/>
  <c r="L64" i="34"/>
  <c r="M64" i="34"/>
  <c r="V64" i="34"/>
  <c r="V65" i="34" s="1"/>
  <c r="W64" i="34"/>
  <c r="W65" i="34" s="1"/>
  <c r="X64" i="34"/>
  <c r="X65" i="34" s="1"/>
  <c r="Y64" i="34"/>
  <c r="Y65" i="34" s="1"/>
  <c r="G65" i="34"/>
  <c r="H65" i="34"/>
  <c r="I65" i="34"/>
  <c r="J65" i="34"/>
  <c r="V66" i="34"/>
  <c r="V67" i="34" s="1"/>
  <c r="W66" i="34"/>
  <c r="W67" i="34" s="1"/>
  <c r="X66" i="34"/>
  <c r="X67" i="34" s="1"/>
  <c r="Y66" i="34"/>
  <c r="Y67" i="34" s="1"/>
  <c r="G67" i="34"/>
  <c r="H67" i="34"/>
  <c r="I67" i="34"/>
  <c r="J67" i="34"/>
  <c r="V68" i="34"/>
  <c r="V69" i="34" s="1"/>
  <c r="W68" i="34"/>
  <c r="W69" i="34" s="1"/>
  <c r="X68" i="34"/>
  <c r="X69" i="34" s="1"/>
  <c r="Y68" i="34"/>
  <c r="Y69" i="34" s="1"/>
  <c r="G69" i="34"/>
  <c r="H69" i="34"/>
  <c r="I69" i="34"/>
  <c r="J69" i="34"/>
  <c r="V70" i="34"/>
  <c r="W70" i="34"/>
  <c r="X70" i="34"/>
  <c r="Y70" i="34"/>
  <c r="V71" i="34"/>
  <c r="W71" i="34"/>
  <c r="X71" i="34"/>
  <c r="Y71" i="34"/>
  <c r="V72" i="34"/>
  <c r="W72" i="34"/>
  <c r="X72" i="34"/>
  <c r="Y72" i="34"/>
  <c r="G73" i="34"/>
  <c r="H73" i="34"/>
  <c r="I73" i="34"/>
  <c r="J73" i="34"/>
  <c r="L74" i="34"/>
  <c r="M74" i="34"/>
  <c r="V74" i="34"/>
  <c r="V75" i="34" s="1"/>
  <c r="W74" i="34"/>
  <c r="X74" i="34"/>
  <c r="X75" i="34" s="1"/>
  <c r="Y74" i="34"/>
  <c r="Y75" i="34" s="1"/>
  <c r="G75" i="34"/>
  <c r="H75" i="34"/>
  <c r="I75" i="34"/>
  <c r="J75" i="34"/>
  <c r="V76" i="34"/>
  <c r="W76" i="34"/>
  <c r="X76" i="34"/>
  <c r="Y76" i="34"/>
  <c r="V77" i="34"/>
  <c r="W77" i="34"/>
  <c r="X77" i="34"/>
  <c r="Y77" i="34"/>
  <c r="V78" i="34"/>
  <c r="W78" i="34"/>
  <c r="X78" i="34"/>
  <c r="Y78" i="34"/>
  <c r="V79" i="34"/>
  <c r="W79" i="34"/>
  <c r="X79" i="34"/>
  <c r="Y79" i="34"/>
  <c r="G80" i="34"/>
  <c r="H80" i="34"/>
  <c r="I80" i="34"/>
  <c r="J80" i="34"/>
  <c r="V81" i="34"/>
  <c r="W81" i="34"/>
  <c r="X81" i="34"/>
  <c r="Y81" i="34"/>
  <c r="L82" i="34"/>
  <c r="M82" i="34"/>
  <c r="V82" i="34"/>
  <c r="W82" i="34"/>
  <c r="X82" i="34"/>
  <c r="Y82" i="34"/>
  <c r="V83" i="34"/>
  <c r="W83" i="34"/>
  <c r="X83" i="34"/>
  <c r="Y83" i="34"/>
  <c r="V84" i="34"/>
  <c r="W84" i="34"/>
  <c r="X84" i="34"/>
  <c r="Y84" i="34"/>
  <c r="V85" i="34"/>
  <c r="W85" i="34"/>
  <c r="X85" i="34"/>
  <c r="Y85" i="34"/>
  <c r="G86" i="34"/>
  <c r="H86" i="34"/>
  <c r="I86" i="34"/>
  <c r="J86" i="34"/>
  <c r="V87" i="34"/>
  <c r="W87" i="34"/>
  <c r="X87" i="34"/>
  <c r="Y87" i="34"/>
  <c r="V88" i="34"/>
  <c r="W88" i="34"/>
  <c r="X88" i="34"/>
  <c r="Y88" i="34"/>
  <c r="G89" i="34"/>
  <c r="H89" i="34"/>
  <c r="I89" i="34"/>
  <c r="J89" i="34"/>
  <c r="V90" i="34"/>
  <c r="W90" i="34"/>
  <c r="X90" i="34"/>
  <c r="Y90" i="34"/>
  <c r="V91" i="34"/>
  <c r="W91" i="34"/>
  <c r="X91" i="34"/>
  <c r="Y91" i="34"/>
  <c r="V92" i="34"/>
  <c r="W92" i="34"/>
  <c r="X92" i="34"/>
  <c r="Y92" i="34"/>
  <c r="V93" i="34"/>
  <c r="W93" i="34"/>
  <c r="X93" i="34"/>
  <c r="Y93" i="34"/>
  <c r="V94" i="34"/>
  <c r="W94" i="34"/>
  <c r="X94" i="34"/>
  <c r="Y94" i="34"/>
  <c r="G95" i="34"/>
  <c r="H95" i="34"/>
  <c r="I95" i="34"/>
  <c r="J95" i="34"/>
  <c r="V96" i="34"/>
  <c r="W96" i="34"/>
  <c r="X96" i="34"/>
  <c r="Y96" i="34"/>
  <c r="V97" i="34"/>
  <c r="W97" i="34"/>
  <c r="X97" i="34"/>
  <c r="Y97" i="34"/>
  <c r="G98" i="34"/>
  <c r="H98" i="34"/>
  <c r="I98" i="34"/>
  <c r="J98" i="34"/>
  <c r="L99" i="34"/>
  <c r="M99" i="34"/>
  <c r="V99" i="34"/>
  <c r="W99" i="34"/>
  <c r="X99" i="34"/>
  <c r="Y99" i="34"/>
  <c r="V100" i="34"/>
  <c r="W100" i="34"/>
  <c r="X100" i="34"/>
  <c r="Y100" i="34"/>
  <c r="V101" i="34"/>
  <c r="W101" i="34"/>
  <c r="X101" i="34"/>
  <c r="Y101" i="34"/>
  <c r="G102" i="34"/>
  <c r="H102" i="34"/>
  <c r="I102" i="34"/>
  <c r="J102" i="34"/>
  <c r="V103" i="34"/>
  <c r="W103" i="34"/>
  <c r="X103" i="34"/>
  <c r="Y103" i="34"/>
  <c r="V104" i="34"/>
  <c r="W104" i="34"/>
  <c r="X104" i="34"/>
  <c r="Y104" i="34"/>
  <c r="V105" i="34"/>
  <c r="W105" i="34"/>
  <c r="X105" i="34"/>
  <c r="Y105" i="34"/>
  <c r="G106" i="34"/>
  <c r="H106" i="34"/>
  <c r="I106" i="34"/>
  <c r="J106" i="34"/>
  <c r="V107" i="34"/>
  <c r="W107" i="34"/>
  <c r="X107" i="34"/>
  <c r="Y107" i="34"/>
  <c r="V108" i="34"/>
  <c r="W108" i="34"/>
  <c r="X108" i="34"/>
  <c r="Y108" i="34"/>
  <c r="V109" i="34"/>
  <c r="W109" i="34"/>
  <c r="X109" i="34"/>
  <c r="Y109" i="34"/>
  <c r="G110" i="34"/>
  <c r="H110" i="34"/>
  <c r="I110" i="34"/>
  <c r="J110" i="34"/>
  <c r="V111" i="34"/>
  <c r="W111" i="34"/>
  <c r="X111" i="34"/>
  <c r="Y111" i="34"/>
  <c r="V112" i="34"/>
  <c r="W112" i="34"/>
  <c r="X112" i="34"/>
  <c r="Y112" i="34"/>
  <c r="G113" i="34"/>
  <c r="H113" i="34"/>
  <c r="I113" i="34"/>
  <c r="J113" i="34"/>
  <c r="V114" i="34"/>
  <c r="W114" i="34"/>
  <c r="X114" i="34"/>
  <c r="Y114" i="34"/>
  <c r="V115" i="34"/>
  <c r="W115" i="34"/>
  <c r="X115" i="34"/>
  <c r="Y115" i="34"/>
  <c r="V116" i="34"/>
  <c r="W116" i="34"/>
  <c r="X116" i="34"/>
  <c r="Y116" i="34"/>
  <c r="G117" i="34"/>
  <c r="H117" i="34"/>
  <c r="I117" i="34"/>
  <c r="J117" i="34"/>
  <c r="L118" i="34"/>
  <c r="M118" i="34"/>
  <c r="V118" i="34"/>
  <c r="W118" i="34"/>
  <c r="X118" i="34"/>
  <c r="Y118" i="34"/>
  <c r="V119" i="34"/>
  <c r="W119" i="34"/>
  <c r="X119" i="34"/>
  <c r="Y119" i="34"/>
  <c r="V120" i="34"/>
  <c r="W120" i="34"/>
  <c r="X120" i="34"/>
  <c r="Y120" i="34"/>
  <c r="G121" i="34"/>
  <c r="H121" i="34"/>
  <c r="I121" i="34"/>
  <c r="J121" i="34"/>
  <c r="L122" i="34"/>
  <c r="M122" i="34"/>
  <c r="V122" i="34"/>
  <c r="W122" i="34"/>
  <c r="X122" i="34"/>
  <c r="Y122" i="34"/>
  <c r="V123" i="34"/>
  <c r="W123" i="34"/>
  <c r="X123" i="34"/>
  <c r="Y123" i="34"/>
  <c r="V124" i="34"/>
  <c r="W124" i="34"/>
  <c r="X124" i="34"/>
  <c r="Y124" i="34"/>
  <c r="G125" i="34"/>
  <c r="H125" i="34"/>
  <c r="I125" i="34"/>
  <c r="J125" i="34"/>
  <c r="V126" i="34"/>
  <c r="V127" i="34" s="1"/>
  <c r="W126" i="34"/>
  <c r="W127" i="34" s="1"/>
  <c r="X126" i="34"/>
  <c r="X127" i="34" s="1"/>
  <c r="Y126" i="34"/>
  <c r="Y127" i="34" s="1"/>
  <c r="G127" i="34"/>
  <c r="H127" i="34"/>
  <c r="I127" i="34"/>
  <c r="J127" i="34"/>
  <c r="V128" i="34"/>
  <c r="V129" i="34" s="1"/>
  <c r="W128" i="34"/>
  <c r="W129" i="34" s="1"/>
  <c r="X128" i="34"/>
  <c r="X129" i="34" s="1"/>
  <c r="Y128" i="34"/>
  <c r="Y129" i="34" s="1"/>
  <c r="G129" i="34"/>
  <c r="H129" i="34"/>
  <c r="I129" i="34"/>
  <c r="J129" i="34"/>
  <c r="V130" i="34"/>
  <c r="V131" i="34" s="1"/>
  <c r="W130" i="34"/>
  <c r="W131" i="34" s="1"/>
  <c r="X130" i="34"/>
  <c r="X131" i="34" s="1"/>
  <c r="Y130" i="34"/>
  <c r="Y131" i="34" s="1"/>
  <c r="G131" i="34"/>
  <c r="H131" i="34"/>
  <c r="I131" i="34"/>
  <c r="J131" i="34"/>
  <c r="V132" i="34"/>
  <c r="V133" i="34" s="1"/>
  <c r="W132" i="34"/>
  <c r="X132" i="34"/>
  <c r="X133" i="34" s="1"/>
  <c r="Y132" i="34"/>
  <c r="Y133" i="34" s="1"/>
  <c r="G133" i="34"/>
  <c r="H133" i="34"/>
  <c r="I133" i="34"/>
  <c r="J133" i="34"/>
  <c r="V134" i="34"/>
  <c r="V135" i="34" s="1"/>
  <c r="W134" i="34"/>
  <c r="W135" i="34" s="1"/>
  <c r="X134" i="34"/>
  <c r="X135" i="34" s="1"/>
  <c r="Y134" i="34"/>
  <c r="Y135" i="34" s="1"/>
  <c r="G135" i="34"/>
  <c r="H135" i="34"/>
  <c r="I135" i="34"/>
  <c r="J135" i="34"/>
  <c r="V136" i="34"/>
  <c r="V137" i="34" s="1"/>
  <c r="W136" i="34"/>
  <c r="W137" i="34" s="1"/>
  <c r="X136" i="34"/>
  <c r="X137" i="34" s="1"/>
  <c r="Y136" i="34"/>
  <c r="Y137" i="34" s="1"/>
  <c r="G137" i="34"/>
  <c r="H137" i="34"/>
  <c r="I137" i="34"/>
  <c r="J137" i="34"/>
  <c r="V138" i="34"/>
  <c r="V139" i="34" s="1"/>
  <c r="W138" i="34"/>
  <c r="W139" i="34" s="1"/>
  <c r="X138" i="34"/>
  <c r="X139" i="34" s="1"/>
  <c r="Y138" i="34"/>
  <c r="Y139" i="34" s="1"/>
  <c r="G139" i="34"/>
  <c r="H139" i="34"/>
  <c r="I139" i="34"/>
  <c r="J139" i="34"/>
  <c r="V140" i="34"/>
  <c r="W140" i="34"/>
  <c r="W141" i="34" s="1"/>
  <c r="X140" i="34"/>
  <c r="X141" i="34" s="1"/>
  <c r="Y140" i="34"/>
  <c r="Y141" i="34" s="1"/>
  <c r="G141" i="34"/>
  <c r="H141" i="34"/>
  <c r="I141" i="34"/>
  <c r="J141" i="34"/>
  <c r="V142" i="34"/>
  <c r="V143" i="34" s="1"/>
  <c r="W142" i="34"/>
  <c r="W143" i="34" s="1"/>
  <c r="X142" i="34"/>
  <c r="X143" i="34" s="1"/>
  <c r="Y142" i="34"/>
  <c r="Y143" i="34" s="1"/>
  <c r="G143" i="34"/>
  <c r="H143" i="34"/>
  <c r="I143" i="34"/>
  <c r="J143" i="34"/>
  <c r="L144" i="34"/>
  <c r="M144" i="34"/>
  <c r="V144" i="34"/>
  <c r="V145" i="34" s="1"/>
  <c r="W144" i="34"/>
  <c r="W145" i="34" s="1"/>
  <c r="X144" i="34"/>
  <c r="X145" i="34" s="1"/>
  <c r="Y144" i="34"/>
  <c r="Y145" i="34" s="1"/>
  <c r="G145" i="34"/>
  <c r="H145" i="34"/>
  <c r="I145" i="34"/>
  <c r="J145" i="34"/>
  <c r="V146" i="34"/>
  <c r="V147" i="34" s="1"/>
  <c r="W146" i="34"/>
  <c r="W147" i="34" s="1"/>
  <c r="X146" i="34"/>
  <c r="X147" i="34" s="1"/>
  <c r="Y146" i="34"/>
  <c r="Y147" i="34" s="1"/>
  <c r="U147" i="34" s="1"/>
  <c r="G147" i="34"/>
  <c r="H147" i="34"/>
  <c r="I147" i="34"/>
  <c r="J147" i="34"/>
  <c r="R148" i="34"/>
  <c r="P69" i="38" l="1"/>
  <c r="Q61" i="37"/>
  <c r="V61" i="37" s="1"/>
  <c r="P60" i="37"/>
  <c r="K60" i="37"/>
  <c r="P58" i="37"/>
  <c r="K58" i="37"/>
  <c r="P56" i="37"/>
  <c r="K56" i="37"/>
  <c r="P54" i="37"/>
  <c r="K54" i="37"/>
  <c r="K52" i="37"/>
  <c r="O61" i="37"/>
  <c r="J61" i="37"/>
  <c r="P52" i="37"/>
  <c r="P49" i="37"/>
  <c r="K49" i="37"/>
  <c r="L61" i="37"/>
  <c r="K45" i="37"/>
  <c r="V45" i="37"/>
  <c r="W45" i="37"/>
  <c r="W39" i="37"/>
  <c r="K39" i="37"/>
  <c r="K35" i="37"/>
  <c r="P31" i="37"/>
  <c r="K31" i="37"/>
  <c r="K29" i="37"/>
  <c r="P29" i="37"/>
  <c r="P22" i="37"/>
  <c r="K22" i="37"/>
  <c r="P99" i="38"/>
  <c r="K99" i="38"/>
  <c r="F99" i="38"/>
  <c r="P97" i="38"/>
  <c r="K97" i="38"/>
  <c r="P95" i="38"/>
  <c r="K95" i="38"/>
  <c r="P93" i="38"/>
  <c r="K93" i="38"/>
  <c r="K91" i="38"/>
  <c r="P85" i="38"/>
  <c r="K85" i="38"/>
  <c r="K83" i="38"/>
  <c r="U81" i="38"/>
  <c r="K79" i="38"/>
  <c r="P75" i="38"/>
  <c r="K75" i="38"/>
  <c r="P71" i="38"/>
  <c r="K71" i="38"/>
  <c r="K69" i="38"/>
  <c r="K65" i="38"/>
  <c r="K62" i="38"/>
  <c r="P58" i="38"/>
  <c r="K58" i="38"/>
  <c r="P56" i="38"/>
  <c r="K56" i="38"/>
  <c r="P50" i="38"/>
  <c r="K50" i="38"/>
  <c r="F50" i="38"/>
  <c r="U48" i="38"/>
  <c r="P45" i="38"/>
  <c r="K45" i="38"/>
  <c r="K42" i="38"/>
  <c r="K39" i="38"/>
  <c r="U28" i="38"/>
  <c r="K33" i="38"/>
  <c r="K26" i="38"/>
  <c r="K20" i="38"/>
  <c r="K17" i="38"/>
  <c r="F147" i="34"/>
  <c r="F145" i="34"/>
  <c r="U145" i="34"/>
  <c r="F143" i="34"/>
  <c r="U143" i="34"/>
  <c r="F141" i="34"/>
  <c r="U140" i="34"/>
  <c r="V141" i="34"/>
  <c r="U141" i="34" s="1"/>
  <c r="F139" i="34"/>
  <c r="U139" i="34"/>
  <c r="F137" i="34"/>
  <c r="U137" i="34"/>
  <c r="F135" i="34"/>
  <c r="U135" i="34"/>
  <c r="F133" i="34"/>
  <c r="U132" i="34"/>
  <c r="W133" i="34"/>
  <c r="U133" i="34" s="1"/>
  <c r="F131" i="34"/>
  <c r="U131" i="34"/>
  <c r="F129" i="34"/>
  <c r="U129" i="34"/>
  <c r="F127" i="34"/>
  <c r="U127" i="34"/>
  <c r="F125" i="34"/>
  <c r="X125" i="34"/>
  <c r="V125" i="34"/>
  <c r="U123" i="34"/>
  <c r="Y125" i="34"/>
  <c r="U125" i="34" s="1"/>
  <c r="W125" i="34"/>
  <c r="F121" i="34"/>
  <c r="X121" i="34"/>
  <c r="V121" i="34"/>
  <c r="Y121" i="34"/>
  <c r="W121" i="34"/>
  <c r="F117" i="34"/>
  <c r="X117" i="34"/>
  <c r="V117" i="34"/>
  <c r="U116" i="34"/>
  <c r="Y117" i="34"/>
  <c r="W117" i="34"/>
  <c r="U117" i="34" s="1"/>
  <c r="F113" i="34"/>
  <c r="X113" i="34"/>
  <c r="V113" i="34"/>
  <c r="Y113" i="34"/>
  <c r="W113" i="34"/>
  <c r="F110" i="34"/>
  <c r="X110" i="34"/>
  <c r="V110" i="34"/>
  <c r="Y110" i="34"/>
  <c r="W110" i="34"/>
  <c r="F106" i="34"/>
  <c r="X106" i="34"/>
  <c r="V106" i="34"/>
  <c r="Y106" i="34"/>
  <c r="W106" i="34"/>
  <c r="F102" i="34"/>
  <c r="X102" i="34"/>
  <c r="V102" i="34"/>
  <c r="Y102" i="34"/>
  <c r="U99" i="34"/>
  <c r="W102" i="34"/>
  <c r="U102" i="34" s="1"/>
  <c r="F98" i="34"/>
  <c r="X98" i="34"/>
  <c r="V98" i="34"/>
  <c r="Y98" i="34"/>
  <c r="U98" i="34" s="1"/>
  <c r="W98" i="34"/>
  <c r="J148" i="34"/>
  <c r="F95" i="34"/>
  <c r="X95" i="34"/>
  <c r="V95" i="34"/>
  <c r="U93" i="34"/>
  <c r="Y95" i="34"/>
  <c r="W95" i="34"/>
  <c r="U95" i="34" s="1"/>
  <c r="F89" i="34"/>
  <c r="X89" i="34"/>
  <c r="V89" i="34"/>
  <c r="Y89" i="34"/>
  <c r="W89" i="34"/>
  <c r="F86" i="34"/>
  <c r="X86" i="34"/>
  <c r="V86" i="34"/>
  <c r="U85" i="34"/>
  <c r="U83" i="34"/>
  <c r="Y86" i="34"/>
  <c r="U86" i="34" s="1"/>
  <c r="W86" i="34"/>
  <c r="F80" i="34"/>
  <c r="X80" i="34"/>
  <c r="V80" i="34"/>
  <c r="Y80" i="34"/>
  <c r="U76" i="34"/>
  <c r="W80" i="34"/>
  <c r="F75" i="34"/>
  <c r="U74" i="34"/>
  <c r="W75" i="34"/>
  <c r="U75" i="34" s="1"/>
  <c r="F73" i="34"/>
  <c r="U72" i="34"/>
  <c r="X73" i="34"/>
  <c r="V73" i="34"/>
  <c r="Y73" i="34"/>
  <c r="W73" i="34"/>
  <c r="F69" i="34"/>
  <c r="U69" i="34"/>
  <c r="F67" i="34"/>
  <c r="U67" i="34"/>
  <c r="F65" i="34"/>
  <c r="U65" i="34"/>
  <c r="F63" i="34"/>
  <c r="X63" i="34"/>
  <c r="V63" i="34"/>
  <c r="Y63" i="34"/>
  <c r="W63" i="34"/>
  <c r="Y60" i="34"/>
  <c r="W60" i="34"/>
  <c r="F60" i="34"/>
  <c r="X60" i="34"/>
  <c r="V60" i="34"/>
  <c r="F57" i="34"/>
  <c r="X57" i="34"/>
  <c r="V57" i="34"/>
  <c r="Y57" i="34"/>
  <c r="U57" i="34" s="1"/>
  <c r="W57" i="34"/>
  <c r="F54" i="34"/>
  <c r="X54" i="34"/>
  <c r="U51" i="34"/>
  <c r="V54" i="34"/>
  <c r="Y54" i="34"/>
  <c r="W54" i="34"/>
  <c r="F50" i="34"/>
  <c r="U50" i="34"/>
  <c r="F48" i="34"/>
  <c r="U48" i="34"/>
  <c r="F46" i="34"/>
  <c r="X46" i="34"/>
  <c r="V46" i="34"/>
  <c r="Y46" i="34"/>
  <c r="W46" i="34"/>
  <c r="F42" i="34"/>
  <c r="U39" i="34"/>
  <c r="X42" i="34"/>
  <c r="V42" i="34"/>
  <c r="Y42" i="34"/>
  <c r="W42" i="34"/>
  <c r="F35" i="34"/>
  <c r="U32" i="34"/>
  <c r="X35" i="34"/>
  <c r="V35" i="34"/>
  <c r="Y35" i="34"/>
  <c r="W35" i="34"/>
  <c r="F28" i="34"/>
  <c r="U25" i="34"/>
  <c r="X28" i="34"/>
  <c r="V28" i="34"/>
  <c r="Y28" i="34"/>
  <c r="W28" i="34"/>
  <c r="I148" i="34"/>
  <c r="Y21" i="34"/>
  <c r="W21" i="34"/>
  <c r="F21" i="34"/>
  <c r="F148" i="34" s="1"/>
  <c r="X21" i="34"/>
  <c r="V21" i="34"/>
  <c r="U21" i="34" s="1"/>
  <c r="U18" i="34"/>
  <c r="M54" i="36"/>
  <c r="H54" i="36"/>
  <c r="W45" i="36"/>
  <c r="U45" i="36"/>
  <c r="V41" i="36"/>
  <c r="U41" i="36"/>
  <c r="I38" i="36"/>
  <c r="T53" i="36"/>
  <c r="N53" i="36"/>
  <c r="I53" i="36"/>
  <c r="T49" i="36"/>
  <c r="N49" i="36"/>
  <c r="I49" i="36"/>
  <c r="T45" i="36"/>
  <c r="N45" i="36"/>
  <c r="I41" i="36"/>
  <c r="T33" i="36"/>
  <c r="N33" i="36"/>
  <c r="I33" i="36"/>
  <c r="T30" i="36"/>
  <c r="N30" i="36"/>
  <c r="I30" i="36"/>
  <c r="T25" i="36"/>
  <c r="N25" i="36"/>
  <c r="I25" i="36"/>
  <c r="T22" i="36"/>
  <c r="N22" i="36"/>
  <c r="I22" i="36"/>
  <c r="R54" i="36"/>
  <c r="W53" i="36"/>
  <c r="S53" i="36" s="1"/>
  <c r="T51" i="36"/>
  <c r="S51" i="36" s="1"/>
  <c r="N51" i="36"/>
  <c r="I51" i="36"/>
  <c r="S49" i="36"/>
  <c r="T47" i="36"/>
  <c r="S47" i="36" s="1"/>
  <c r="N47" i="36"/>
  <c r="J54" i="36"/>
  <c r="I47" i="36"/>
  <c r="S45" i="36"/>
  <c r="T41" i="36"/>
  <c r="S41" i="36" s="1"/>
  <c r="N41" i="36"/>
  <c r="T37" i="36"/>
  <c r="S37" i="36" s="1"/>
  <c r="N37" i="36"/>
  <c r="I37" i="36"/>
  <c r="S33" i="36"/>
  <c r="S30" i="36"/>
  <c r="S25" i="36"/>
  <c r="S22" i="36"/>
  <c r="T20" i="36"/>
  <c r="S20" i="36" s="1"/>
  <c r="N20" i="36"/>
  <c r="I20" i="36"/>
  <c r="T17" i="36"/>
  <c r="S17" i="36" s="1"/>
  <c r="N17" i="36"/>
  <c r="I17" i="36"/>
  <c r="R98" i="35"/>
  <c r="R96" i="35"/>
  <c r="C92" i="35"/>
  <c r="S92" i="35"/>
  <c r="R92" i="35" s="1"/>
  <c r="R88" i="35"/>
  <c r="R84" i="35"/>
  <c r="R76" i="35"/>
  <c r="R71" i="35"/>
  <c r="R66" i="35"/>
  <c r="R62" i="35"/>
  <c r="G103" i="35"/>
  <c r="V57" i="35"/>
  <c r="R57" i="35" s="1"/>
  <c r="C53" i="35"/>
  <c r="S53" i="35"/>
  <c r="R53" i="35" s="1"/>
  <c r="R43" i="35"/>
  <c r="R33" i="35"/>
  <c r="C25" i="35"/>
  <c r="S25" i="35"/>
  <c r="R25" i="35" s="1"/>
  <c r="R22" i="35"/>
  <c r="R17" i="35"/>
  <c r="C102" i="35"/>
  <c r="T102" i="35"/>
  <c r="R102" i="35" s="1"/>
  <c r="R100" i="35"/>
  <c r="C94" i="35"/>
  <c r="S94" i="35"/>
  <c r="R94" i="35" s="1"/>
  <c r="R90" i="35"/>
  <c r="R86" i="35"/>
  <c r="R80" i="35"/>
  <c r="C64" i="35"/>
  <c r="S64" i="35"/>
  <c r="R64" i="35" s="1"/>
  <c r="F103" i="35"/>
  <c r="U48" i="35"/>
  <c r="R48" i="35" s="1"/>
  <c r="R46" i="35"/>
  <c r="R41" i="35"/>
  <c r="R36" i="35"/>
  <c r="R30" i="35"/>
  <c r="R27" i="35"/>
  <c r="Y91" i="38"/>
  <c r="P91" i="38"/>
  <c r="Y83" i="38"/>
  <c r="P83" i="38"/>
  <c r="Y79" i="38"/>
  <c r="P79" i="38"/>
  <c r="Y62" i="38"/>
  <c r="P62" i="38"/>
  <c r="Y65" i="38"/>
  <c r="P65" i="38"/>
  <c r="Y69" i="38"/>
  <c r="Y42" i="38"/>
  <c r="P42" i="38"/>
  <c r="Y39" i="38"/>
  <c r="P39" i="38"/>
  <c r="Y33" i="38"/>
  <c r="P33" i="38"/>
  <c r="Y26" i="38"/>
  <c r="P26" i="38"/>
  <c r="Y20" i="38"/>
  <c r="P20" i="38"/>
  <c r="Y45" i="37"/>
  <c r="Y39" i="37"/>
  <c r="Y35" i="37"/>
  <c r="Y29" i="37"/>
  <c r="T61" i="37"/>
  <c r="Y61" i="37" s="1"/>
  <c r="Y22" i="37"/>
  <c r="U79" i="38"/>
  <c r="U78" i="38"/>
  <c r="U32" i="38"/>
  <c r="S148" i="34"/>
  <c r="L148" i="34"/>
  <c r="G148" i="34"/>
  <c r="M148" i="34"/>
  <c r="U142" i="34"/>
  <c r="U130" i="34"/>
  <c r="U124" i="34"/>
  <c r="U118" i="34"/>
  <c r="U107" i="34"/>
  <c r="U100" i="34"/>
  <c r="E103" i="35"/>
  <c r="U146" i="34"/>
  <c r="U138" i="34"/>
  <c r="U126" i="34"/>
  <c r="U122" i="34"/>
  <c r="U120" i="34"/>
  <c r="U115" i="34"/>
  <c r="U112" i="34"/>
  <c r="U109" i="34"/>
  <c r="U88" i="34"/>
  <c r="U78" i="34"/>
  <c r="X148" i="34"/>
  <c r="P103" i="35"/>
  <c r="O103" i="35"/>
  <c r="I103" i="35"/>
  <c r="C41" i="35"/>
  <c r="D103" i="35"/>
  <c r="V103" i="35"/>
  <c r="Q103" i="35"/>
  <c r="R61" i="37"/>
  <c r="W29" i="37"/>
  <c r="H148" i="34"/>
  <c r="U144" i="34"/>
  <c r="U128" i="34"/>
  <c r="U119" i="34"/>
  <c r="U114" i="34"/>
  <c r="U111" i="34"/>
  <c r="U108" i="34"/>
  <c r="U104" i="34"/>
  <c r="U101" i="34"/>
  <c r="U91" i="34"/>
  <c r="U81" i="34"/>
  <c r="J103" i="35"/>
  <c r="U105" i="34"/>
  <c r="U97" i="34"/>
  <c r="U94" i="34"/>
  <c r="U90" i="34"/>
  <c r="U87" i="34"/>
  <c r="U79" i="34"/>
  <c r="U68" i="34"/>
  <c r="U55" i="34"/>
  <c r="U52" i="34"/>
  <c r="U49" i="34"/>
  <c r="U43" i="34"/>
  <c r="U40" i="34"/>
  <c r="U36" i="34"/>
  <c r="U33" i="34"/>
  <c r="U29" i="34"/>
  <c r="U26" i="34"/>
  <c r="U22" i="34"/>
  <c r="U19" i="34"/>
  <c r="T148" i="34"/>
  <c r="C90" i="35"/>
  <c r="C62" i="35"/>
  <c r="C57" i="35"/>
  <c r="C33" i="35"/>
  <c r="L54" i="36"/>
  <c r="G54" i="36"/>
  <c r="W54" i="36"/>
  <c r="U92" i="34"/>
  <c r="U84" i="34"/>
  <c r="U82" i="34"/>
  <c r="U77" i="34"/>
  <c r="U71" i="34"/>
  <c r="U62" i="34"/>
  <c r="U58" i="34"/>
  <c r="U45" i="34"/>
  <c r="U38" i="34"/>
  <c r="U31" i="34"/>
  <c r="U24" i="34"/>
  <c r="K148" i="34"/>
  <c r="U17" i="34"/>
  <c r="C100" i="35"/>
  <c r="C80" i="35"/>
  <c r="C76" i="35"/>
  <c r="C71" i="35"/>
  <c r="C66" i="35"/>
  <c r="C46" i="35"/>
  <c r="C43" i="35"/>
  <c r="C36" i="35"/>
  <c r="Q54" i="36"/>
  <c r="D47" i="36"/>
  <c r="E54" i="36"/>
  <c r="H100" i="38"/>
  <c r="T100" i="38"/>
  <c r="U70" i="34"/>
  <c r="U66" i="34"/>
  <c r="U64" i="34"/>
  <c r="U61" i="34"/>
  <c r="U59" i="34"/>
  <c r="U56" i="34"/>
  <c r="U53" i="34"/>
  <c r="U47" i="34"/>
  <c r="U44" i="34"/>
  <c r="U41" i="34"/>
  <c r="U37" i="34"/>
  <c r="U34" i="34"/>
  <c r="U30" i="34"/>
  <c r="U27" i="34"/>
  <c r="U23" i="34"/>
  <c r="U20" i="34"/>
  <c r="U16" i="34"/>
  <c r="C98" i="35"/>
  <c r="C96" i="35"/>
  <c r="C88" i="35"/>
  <c r="C48" i="35"/>
  <c r="P54" i="36"/>
  <c r="U54" i="36"/>
  <c r="X22" i="37"/>
  <c r="S61" i="37"/>
  <c r="X61" i="37" s="1"/>
  <c r="M61" i="37"/>
  <c r="H61" i="37"/>
  <c r="F22" i="37"/>
  <c r="N100" i="38"/>
  <c r="D21" i="33" s="1"/>
  <c r="D15" i="11" s="1"/>
  <c r="I100" i="38"/>
  <c r="C21" i="33" s="1"/>
  <c r="C15" i="11" s="1"/>
  <c r="C30" i="35"/>
  <c r="C27" i="35"/>
  <c r="C17" i="35"/>
  <c r="D53" i="36"/>
  <c r="D45" i="36"/>
  <c r="D30" i="36"/>
  <c r="D25" i="36"/>
  <c r="D17" i="36"/>
  <c r="F49" i="37"/>
  <c r="U49" i="37" s="1"/>
  <c r="U61" i="38"/>
  <c r="C22" i="35"/>
  <c r="D49" i="36"/>
  <c r="D41" i="36"/>
  <c r="D33" i="36"/>
  <c r="D22" i="36"/>
  <c r="D20" i="36"/>
  <c r="U60" i="37"/>
  <c r="F60" i="37"/>
  <c r="U58" i="37"/>
  <c r="F58" i="37"/>
  <c r="F56" i="37"/>
  <c r="U56" i="37" s="1"/>
  <c r="U54" i="37"/>
  <c r="F54" i="37"/>
  <c r="F52" i="37"/>
  <c r="U52" i="37" s="1"/>
  <c r="F47" i="37"/>
  <c r="U47" i="37" s="1"/>
  <c r="F45" i="37"/>
  <c r="U45" i="37" s="1"/>
  <c r="F39" i="37"/>
  <c r="U39" i="37" s="1"/>
  <c r="F35" i="37"/>
  <c r="U35" i="37" s="1"/>
  <c r="U31" i="37"/>
  <c r="F31" i="37"/>
  <c r="U29" i="37"/>
  <c r="F29" i="37"/>
  <c r="U22" i="37"/>
  <c r="F91" i="38"/>
  <c r="U87" i="38"/>
  <c r="U85" i="38"/>
  <c r="U84" i="38"/>
  <c r="U55" i="38"/>
  <c r="U51" i="38"/>
  <c r="U35" i="38"/>
  <c r="F20" i="38"/>
  <c r="S100" i="38"/>
  <c r="F54" i="36"/>
  <c r="D51" i="36"/>
  <c r="K45" i="36"/>
  <c r="I45" i="36" s="1"/>
  <c r="I54" i="36" s="1"/>
  <c r="D37" i="36"/>
  <c r="U28" i="37"/>
  <c r="W22" i="37"/>
  <c r="U23" i="38"/>
  <c r="O100" i="38"/>
  <c r="D14" i="33" s="1"/>
  <c r="D13" i="11" s="1"/>
  <c r="J100" i="38"/>
  <c r="R100" i="38"/>
  <c r="U136" i="34"/>
  <c r="U134" i="34"/>
  <c r="U96" i="34"/>
  <c r="Q148" i="34"/>
  <c r="U80" i="38"/>
  <c r="F62" i="38"/>
  <c r="F56" i="38"/>
  <c r="U54" i="38"/>
  <c r="U47" i="38"/>
  <c r="U38" i="38"/>
  <c r="U31" i="38"/>
  <c r="U27" i="38"/>
  <c r="U22" i="38"/>
  <c r="L100" i="38"/>
  <c r="G100" i="38"/>
  <c r="C12" i="33" s="1"/>
  <c r="U96" i="38"/>
  <c r="F95" i="38"/>
  <c r="U89" i="38"/>
  <c r="F83" i="38"/>
  <c r="U76" i="38"/>
  <c r="F75" i="38"/>
  <c r="U73" i="38"/>
  <c r="U70" i="38"/>
  <c r="F69" i="38"/>
  <c r="U67" i="38"/>
  <c r="U59" i="38"/>
  <c r="F58" i="38"/>
  <c r="U53" i="38"/>
  <c r="U46" i="38"/>
  <c r="F45" i="38"/>
  <c r="U43" i="38"/>
  <c r="F42" i="38"/>
  <c r="F39" i="38"/>
  <c r="U37" i="38"/>
  <c r="U30" i="38"/>
  <c r="U26" i="38"/>
  <c r="U25" i="38"/>
  <c r="U21" i="38"/>
  <c r="U17" i="38"/>
  <c r="F17" i="38"/>
  <c r="U16" i="38"/>
  <c r="M100" i="38"/>
  <c r="U94" i="38"/>
  <c r="F93" i="38"/>
  <c r="U90" i="38"/>
  <c r="U86" i="38"/>
  <c r="U77" i="38"/>
  <c r="U74" i="38"/>
  <c r="U68" i="38"/>
  <c r="U63" i="38"/>
  <c r="U60" i="38"/>
  <c r="U44" i="38"/>
  <c r="U41" i="38"/>
  <c r="U34" i="38"/>
  <c r="F33" i="38"/>
  <c r="U18" i="38"/>
  <c r="U98" i="38"/>
  <c r="F97" i="38"/>
  <c r="U88" i="38"/>
  <c r="F85" i="38"/>
  <c r="U82" i="38"/>
  <c r="F79" i="38"/>
  <c r="V75" i="38"/>
  <c r="U75" i="38" s="1"/>
  <c r="U72" i="38"/>
  <c r="F71" i="38"/>
  <c r="U66" i="38"/>
  <c r="F65" i="38"/>
  <c r="U52" i="38"/>
  <c r="U49" i="38"/>
  <c r="U36" i="38"/>
  <c r="U29" i="38"/>
  <c r="F26" i="38"/>
  <c r="U24" i="38"/>
  <c r="U20" i="38"/>
  <c r="U19" i="38"/>
  <c r="Q100" i="38"/>
  <c r="U64" i="38"/>
  <c r="U57" i="38"/>
  <c r="U40" i="38"/>
  <c r="O54" i="36"/>
  <c r="U103" i="34"/>
  <c r="X100" i="38"/>
  <c r="U92" i="38"/>
  <c r="V99" i="38"/>
  <c r="U99" i="38" s="1"/>
  <c r="V97" i="38"/>
  <c r="U97" i="38" s="1"/>
  <c r="V95" i="38"/>
  <c r="U95" i="38" s="1"/>
  <c r="W93" i="38"/>
  <c r="W100" i="38" s="1"/>
  <c r="U91" i="38"/>
  <c r="U83" i="38"/>
  <c r="V71" i="38"/>
  <c r="U71" i="38" s="1"/>
  <c r="V69" i="38"/>
  <c r="U69" i="38" s="1"/>
  <c r="V65" i="38"/>
  <c r="U65" i="38" s="1"/>
  <c r="V62" i="38"/>
  <c r="U62" i="38" s="1"/>
  <c r="V58" i="38"/>
  <c r="U58" i="38" s="1"/>
  <c r="V56" i="38"/>
  <c r="U56" i="38" s="1"/>
  <c r="V50" i="38"/>
  <c r="U50" i="38" s="1"/>
  <c r="V45" i="38"/>
  <c r="U45" i="38" s="1"/>
  <c r="V42" i="38"/>
  <c r="U42" i="38" s="1"/>
  <c r="V39" i="38"/>
  <c r="U39" i="38" s="1"/>
  <c r="V33" i="38"/>
  <c r="V60" i="37"/>
  <c r="V58" i="37"/>
  <c r="V56" i="37"/>
  <c r="V54" i="37"/>
  <c r="V52" i="37"/>
  <c r="V49" i="37"/>
  <c r="V35" i="37"/>
  <c r="V31" i="37"/>
  <c r="V29" i="37"/>
  <c r="V22" i="37"/>
  <c r="V54" i="36"/>
  <c r="U103" i="35"/>
  <c r="C86" i="35"/>
  <c r="C84" i="35"/>
  <c r="Y148" i="34"/>
  <c r="F100" i="38" l="1"/>
  <c r="Y100" i="38"/>
  <c r="K61" i="37"/>
  <c r="F61" i="37"/>
  <c r="U121" i="34"/>
  <c r="U113" i="34"/>
  <c r="U110" i="34"/>
  <c r="U106" i="34"/>
  <c r="U89" i="34"/>
  <c r="U80" i="34"/>
  <c r="U73" i="34"/>
  <c r="U63" i="34"/>
  <c r="U60" i="34"/>
  <c r="U54" i="34"/>
  <c r="U46" i="34"/>
  <c r="U42" i="34"/>
  <c r="U35" i="34"/>
  <c r="U28" i="34"/>
  <c r="E12" i="33"/>
  <c r="C14" i="33"/>
  <c r="C13" i="11" s="1"/>
  <c r="T103" i="35"/>
  <c r="C103" i="35"/>
  <c r="K54" i="36"/>
  <c r="M103" i="35"/>
  <c r="D13" i="33"/>
  <c r="D12" i="11" s="1"/>
  <c r="D12" i="33"/>
  <c r="D11" i="11" s="1"/>
  <c r="E14" i="33"/>
  <c r="W148" i="34"/>
  <c r="P61" i="37"/>
  <c r="U61" i="37" s="1"/>
  <c r="D54" i="36"/>
  <c r="C13" i="33"/>
  <c r="C12" i="11" s="1"/>
  <c r="H103" i="35"/>
  <c r="N54" i="36"/>
  <c r="E13" i="33"/>
  <c r="E21" i="33"/>
  <c r="W61" i="37"/>
  <c r="P148" i="34"/>
  <c r="K100" i="38"/>
  <c r="P100" i="38"/>
  <c r="U33" i="38"/>
  <c r="V100" i="38"/>
  <c r="U93" i="38"/>
  <c r="T54" i="36"/>
  <c r="S54" i="36" s="1"/>
  <c r="S103" i="35"/>
  <c r="R103" i="35" s="1"/>
  <c r="V148" i="34"/>
  <c r="U148" i="34"/>
  <c r="E68" i="11"/>
  <c r="D68" i="11"/>
  <c r="C68" i="11"/>
  <c r="E15" i="11" l="1"/>
  <c r="G21" i="33"/>
  <c r="F21" i="33"/>
  <c r="E13" i="11"/>
  <c r="G14" i="33"/>
  <c r="F14" i="33"/>
  <c r="E11" i="11"/>
  <c r="G12" i="33"/>
  <c r="F12" i="33"/>
  <c r="E12" i="11"/>
  <c r="E10" i="33"/>
  <c r="D10" i="11"/>
  <c r="D9" i="11" s="1"/>
  <c r="C10" i="33"/>
  <c r="C16" i="33" s="1"/>
  <c r="C22" i="33" s="1"/>
  <c r="U100" i="38"/>
  <c r="D52" i="11"/>
  <c r="E47" i="11"/>
  <c r="E67" i="11" s="1"/>
  <c r="E15" i="8"/>
  <c r="E44" i="11" s="1"/>
  <c r="D15" i="8"/>
  <c r="D44" i="11" s="1"/>
  <c r="M18" i="10"/>
  <c r="AE19" i="10"/>
  <c r="E14" i="8" s="1"/>
  <c r="E43" i="11" s="1"/>
  <c r="AD19" i="10"/>
  <c r="E18" i="8" s="1"/>
  <c r="AC19" i="10"/>
  <c r="E13" i="8" s="1"/>
  <c r="E42" i="11" s="1"/>
  <c r="AB19" i="10"/>
  <c r="E12" i="8" s="1"/>
  <c r="E41" i="11" s="1"/>
  <c r="AA18" i="10"/>
  <c r="AA17" i="10"/>
  <c r="AA16" i="10"/>
  <c r="AA15" i="10"/>
  <c r="AA14" i="10"/>
  <c r="AA13" i="10"/>
  <c r="K19" i="10"/>
  <c r="J19" i="10"/>
  <c r="I19" i="10"/>
  <c r="H19" i="10"/>
  <c r="G19" i="10"/>
  <c r="F18" i="10"/>
  <c r="F17" i="10"/>
  <c r="F16" i="10"/>
  <c r="F15" i="10"/>
  <c r="F14" i="10"/>
  <c r="F13" i="10"/>
  <c r="F19" i="10" s="1"/>
  <c r="G12" i="11" l="1"/>
  <c r="F12" i="11"/>
  <c r="G13" i="11"/>
  <c r="F13" i="11"/>
  <c r="G15" i="11"/>
  <c r="F15" i="11"/>
  <c r="E16" i="33"/>
  <c r="G10" i="33"/>
  <c r="F10" i="33"/>
  <c r="E40" i="11"/>
  <c r="E46" i="11"/>
  <c r="E17" i="8"/>
  <c r="E10" i="8"/>
  <c r="E16" i="8" s="1"/>
  <c r="AA19" i="10"/>
  <c r="E22" i="33" l="1"/>
  <c r="G16" i="33"/>
  <c r="F16" i="33"/>
  <c r="E45" i="11"/>
  <c r="E39" i="11" s="1"/>
  <c r="G22" i="33" l="1"/>
  <c r="F22" i="33"/>
  <c r="E14" i="11"/>
  <c r="C11" i="11"/>
  <c r="E26" i="11"/>
  <c r="E62" i="11" s="1"/>
  <c r="D28" i="11"/>
  <c r="D70" i="11" s="1"/>
  <c r="D71" i="11" s="1"/>
  <c r="D27" i="11"/>
  <c r="D63" i="11" s="1"/>
  <c r="C28" i="11"/>
  <c r="C70" i="11" s="1"/>
  <c r="C71" i="11" s="1"/>
  <c r="C27" i="11"/>
  <c r="C63" i="11" s="1"/>
  <c r="C26" i="11"/>
  <c r="C62" i="11" s="1"/>
  <c r="D16" i="30"/>
  <c r="C16" i="30"/>
  <c r="J13" i="29"/>
  <c r="M15" i="29"/>
  <c r="D14" i="30" s="1"/>
  <c r="D10" i="33"/>
  <c r="D16" i="33" s="1"/>
  <c r="D22" i="33" s="1"/>
  <c r="C10" i="11" l="1"/>
  <c r="C9" i="11" s="1"/>
  <c r="G11" i="11"/>
  <c r="F11" i="11"/>
  <c r="E10" i="11"/>
  <c r="G14" i="11"/>
  <c r="F14" i="11"/>
  <c r="D26" i="11"/>
  <c r="D62" i="11" s="1"/>
  <c r="E9" i="11" l="1"/>
  <c r="G10" i="11"/>
  <c r="F10" i="11"/>
  <c r="X15" i="29"/>
  <c r="E15" i="30" s="1"/>
  <c r="E27" i="11" s="1"/>
  <c r="E63" i="11" s="1"/>
  <c r="Y15" i="29"/>
  <c r="E13" i="30" s="1"/>
  <c r="E25" i="11" s="1"/>
  <c r="W15" i="29"/>
  <c r="E17" i="30" s="1"/>
  <c r="V15" i="29"/>
  <c r="E12" i="30" s="1"/>
  <c r="E24" i="11" s="1"/>
  <c r="U15" i="29"/>
  <c r="E11" i="30" s="1"/>
  <c r="N15" i="29"/>
  <c r="D13" i="30" s="1"/>
  <c r="D25" i="11" s="1"/>
  <c r="L15" i="29"/>
  <c r="D12" i="30" s="1"/>
  <c r="D24" i="11" s="1"/>
  <c r="K15" i="29"/>
  <c r="D11" i="30" s="1"/>
  <c r="I15" i="29"/>
  <c r="C13" i="30" s="1"/>
  <c r="C25" i="11" s="1"/>
  <c r="H15" i="29"/>
  <c r="C12" i="30" s="1"/>
  <c r="C24" i="11" s="1"/>
  <c r="G15" i="29"/>
  <c r="C11" i="30" s="1"/>
  <c r="G9" i="11" l="1"/>
  <c r="F9" i="11"/>
  <c r="C10" i="30"/>
  <c r="C19" i="30" s="1"/>
  <c r="C23" i="11"/>
  <c r="C22" i="11" s="1"/>
  <c r="C21" i="11" s="1"/>
  <c r="D23" i="11"/>
  <c r="D22" i="11" s="1"/>
  <c r="D21" i="11" s="1"/>
  <c r="D10" i="30"/>
  <c r="D19" i="30" s="1"/>
  <c r="E23" i="11"/>
  <c r="E22" i="11" s="1"/>
  <c r="E10" i="30"/>
  <c r="E28" i="11"/>
  <c r="E16" i="30"/>
  <c r="T13" i="29"/>
  <c r="T14" i="29"/>
  <c r="E19" i="30" l="1"/>
  <c r="E70" i="11"/>
  <c r="E71" i="11" s="1"/>
  <c r="E21" i="11"/>
  <c r="T15" i="29"/>
  <c r="E19" i="5" l="1"/>
  <c r="E18" i="5"/>
  <c r="Y20" i="4"/>
  <c r="Y19" i="4"/>
  <c r="Y18" i="4"/>
  <c r="Y17" i="4"/>
  <c r="Y16" i="4"/>
  <c r="Y15" i="4"/>
  <c r="R15" i="4"/>
  <c r="E36" i="11" l="1"/>
  <c r="E37" i="11"/>
  <c r="E64" i="11" s="1"/>
  <c r="Y21" i="4"/>
  <c r="F13" i="4" l="1"/>
  <c r="X21" i="4"/>
  <c r="E17" i="5" s="1"/>
  <c r="V21" i="4"/>
  <c r="U21" i="4"/>
  <c r="E22" i="5" s="1"/>
  <c r="R20" i="4"/>
  <c r="R19" i="4"/>
  <c r="R18" i="4"/>
  <c r="R17" i="4"/>
  <c r="R16" i="4"/>
  <c r="R14" i="4"/>
  <c r="R13" i="4"/>
  <c r="E38" i="11" l="1"/>
  <c r="E66" i="11" s="1"/>
  <c r="R21" i="4"/>
  <c r="E15" i="5"/>
  <c r="E35" i="11"/>
  <c r="T21" i="4"/>
  <c r="E14" i="5" s="1"/>
  <c r="S21" i="4"/>
  <c r="E13" i="5" s="1"/>
  <c r="E65" i="11" l="1"/>
  <c r="E32" i="11"/>
  <c r="E33" i="11"/>
  <c r="E31" i="11"/>
  <c r="E11" i="5"/>
  <c r="E60" i="11"/>
  <c r="E20" i="5" l="1"/>
  <c r="E30" i="11"/>
  <c r="E29" i="11" s="1"/>
  <c r="E18" i="11"/>
  <c r="E59" i="11" s="1"/>
  <c r="E15" i="7"/>
  <c r="E20" i="11" s="1"/>
  <c r="E24" i="5" l="1"/>
  <c r="AF45" i="6" l="1"/>
  <c r="AF44" i="6"/>
  <c r="AF43" i="6"/>
  <c r="AF42" i="6"/>
  <c r="AF41" i="6"/>
  <c r="AF40" i="6"/>
  <c r="AF39" i="6"/>
  <c r="AF38" i="6"/>
  <c r="AF37" i="6"/>
  <c r="AF36" i="6"/>
  <c r="AF35" i="6"/>
  <c r="AF34" i="6"/>
  <c r="AF33" i="6"/>
  <c r="AF32" i="6"/>
  <c r="AF31" i="6"/>
  <c r="AF30" i="6"/>
  <c r="AF29" i="6"/>
  <c r="AF28" i="6"/>
  <c r="AF27" i="6"/>
  <c r="AF26" i="6"/>
  <c r="AF25" i="6"/>
  <c r="AF24" i="6"/>
  <c r="AF23" i="6"/>
  <c r="AF22" i="6"/>
  <c r="AF21" i="6"/>
  <c r="AF20" i="6"/>
  <c r="AF19" i="6"/>
  <c r="AF18" i="6"/>
  <c r="AF17" i="6"/>
  <c r="AF16" i="6"/>
  <c r="AF15" i="6"/>
  <c r="AF14" i="6"/>
  <c r="AF46" i="6" l="1"/>
  <c r="U37" i="6"/>
  <c r="D9" i="32"/>
  <c r="U45" i="6"/>
  <c r="U44" i="6"/>
  <c r="U43" i="6"/>
  <c r="U42" i="6"/>
  <c r="U41" i="6"/>
  <c r="U40" i="6"/>
  <c r="U39" i="6"/>
  <c r="U38" i="6"/>
  <c r="U36" i="6"/>
  <c r="U35" i="6"/>
  <c r="U34" i="6" l="1"/>
  <c r="U33" i="6"/>
  <c r="U32" i="6"/>
  <c r="U31" i="6"/>
  <c r="U30" i="6"/>
  <c r="U29" i="6"/>
  <c r="U28" i="6"/>
  <c r="U27" i="6"/>
  <c r="U26" i="6" l="1"/>
  <c r="U25" i="6"/>
  <c r="U24" i="6"/>
  <c r="U23" i="6"/>
  <c r="U22" i="6"/>
  <c r="U21" i="6"/>
  <c r="U20" i="6"/>
  <c r="U19" i="6"/>
  <c r="U18" i="6"/>
  <c r="U17" i="6"/>
  <c r="U16" i="6"/>
  <c r="U15" i="6"/>
  <c r="U14" i="6"/>
  <c r="U46" i="6" l="1"/>
  <c r="B9" i="32" l="1"/>
  <c r="C9" i="32"/>
  <c r="AB40" i="6" l="1"/>
  <c r="AB21" i="6" l="1"/>
  <c r="AB15" i="6" l="1"/>
  <c r="AE45" i="6" l="1"/>
  <c r="AI45" i="6" s="1"/>
  <c r="AE44" i="6"/>
  <c r="AI44" i="6" s="1"/>
  <c r="AE43" i="6"/>
  <c r="AI43" i="6" s="1"/>
  <c r="AE42" i="6"/>
  <c r="AI42" i="6" s="1"/>
  <c r="AE41" i="6"/>
  <c r="AI41" i="6" s="1"/>
  <c r="AE40" i="6"/>
  <c r="AI40" i="6" s="1"/>
  <c r="AE39" i="6"/>
  <c r="AI39" i="6" s="1"/>
  <c r="AE38" i="6"/>
  <c r="AI38" i="6" s="1"/>
  <c r="AE37" i="6"/>
  <c r="AI37" i="6" s="1"/>
  <c r="AE36" i="6"/>
  <c r="AI36" i="6" s="1"/>
  <c r="AE35" i="6"/>
  <c r="AI35" i="6" s="1"/>
  <c r="AE34" i="6"/>
  <c r="AI34" i="6" s="1"/>
  <c r="AE33" i="6"/>
  <c r="AI33" i="6" s="1"/>
  <c r="AE32" i="6"/>
  <c r="AI32" i="6" s="1"/>
  <c r="AE31" i="6"/>
  <c r="AI31" i="6" s="1"/>
  <c r="AE30" i="6"/>
  <c r="AI30" i="6" s="1"/>
  <c r="AE29" i="6"/>
  <c r="AI29" i="6" s="1"/>
  <c r="AE28" i="6"/>
  <c r="AI28" i="6" s="1"/>
  <c r="AE27" i="6"/>
  <c r="AI27" i="6" s="1"/>
  <c r="AE26" i="6"/>
  <c r="AI26" i="6" s="1"/>
  <c r="AE25" i="6"/>
  <c r="AI25" i="6" s="1"/>
  <c r="AE24" i="6"/>
  <c r="AI24" i="6" s="1"/>
  <c r="AE23" i="6"/>
  <c r="AI23" i="6" s="1"/>
  <c r="AE22" i="6"/>
  <c r="AI22" i="6" s="1"/>
  <c r="AE21" i="6"/>
  <c r="AI21" i="6" s="1"/>
  <c r="AE20" i="6"/>
  <c r="AI20" i="6" s="1"/>
  <c r="AE19" i="6"/>
  <c r="AI19" i="6" s="1"/>
  <c r="AE17" i="6"/>
  <c r="AI17" i="6" s="1"/>
  <c r="AE16" i="6"/>
  <c r="AI16" i="6" s="1"/>
  <c r="AE15" i="6"/>
  <c r="AI15" i="6" s="1"/>
  <c r="AE14" i="6"/>
  <c r="AI14" i="6" l="1"/>
  <c r="AA14" i="6"/>
  <c r="C15" i="7"/>
  <c r="C20" i="11" l="1"/>
  <c r="AG18" i="6"/>
  <c r="AH45" i="6"/>
  <c r="AH44" i="6"/>
  <c r="AH43" i="6"/>
  <c r="AH42" i="6"/>
  <c r="AH41" i="6"/>
  <c r="AH40" i="6"/>
  <c r="AH39" i="6"/>
  <c r="AH37" i="6"/>
  <c r="AH36" i="6"/>
  <c r="AH35" i="6"/>
  <c r="AH34" i="6"/>
  <c r="AH32" i="6"/>
  <c r="AH31" i="6"/>
  <c r="AH30" i="6"/>
  <c r="AH29" i="6"/>
  <c r="AH28" i="6"/>
  <c r="AH26" i="6"/>
  <c r="AH25" i="6"/>
  <c r="AH24" i="6"/>
  <c r="AH23" i="6"/>
  <c r="AH22" i="6"/>
  <c r="AH21" i="6"/>
  <c r="AH20" i="6"/>
  <c r="AH19" i="6"/>
  <c r="AH17" i="6"/>
  <c r="AH16" i="6"/>
  <c r="AH15" i="6"/>
  <c r="AH14" i="6"/>
  <c r="AG46" i="6"/>
  <c r="AG48" i="6" s="1"/>
  <c r="AD46" i="6"/>
  <c r="AC46" i="6"/>
  <c r="AB46" i="6"/>
  <c r="E12" i="7" s="1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7" i="6"/>
  <c r="AA16" i="6"/>
  <c r="AA15" i="6"/>
  <c r="AA13" i="6"/>
  <c r="O38" i="6"/>
  <c r="O33" i="6"/>
  <c r="O27" i="6"/>
  <c r="O18" i="6"/>
  <c r="J38" i="6"/>
  <c r="AH38" i="6" s="1"/>
  <c r="J33" i="6"/>
  <c r="AH33" i="6" s="1"/>
  <c r="J27" i="6"/>
  <c r="AH27" i="6" s="1"/>
  <c r="J18" i="6"/>
  <c r="E17" i="11" l="1"/>
  <c r="E58" i="11" s="1"/>
  <c r="AH18" i="6"/>
  <c r="AE18" i="6"/>
  <c r="AI18" i="6" s="1"/>
  <c r="AI46" i="6" s="1"/>
  <c r="AE46" i="6" l="1"/>
  <c r="E14" i="7" s="1"/>
  <c r="AA18" i="6"/>
  <c r="AA46" i="6" l="1"/>
  <c r="E19" i="11"/>
  <c r="E61" i="11" s="1"/>
  <c r="E10" i="7"/>
  <c r="E16" i="7" s="1"/>
  <c r="P14" i="29"/>
  <c r="E57" i="11" l="1"/>
  <c r="E69" i="11"/>
  <c r="E16" i="11"/>
  <c r="E49" i="11" s="1"/>
  <c r="E72" i="11" l="1"/>
  <c r="S14" i="29"/>
  <c r="O14" i="29" s="1"/>
  <c r="B29" i="39" l="1"/>
  <c r="B30" i="39" s="1"/>
  <c r="Q13" i="29"/>
  <c r="X18" i="10"/>
  <c r="X17" i="10"/>
  <c r="X16" i="10"/>
  <c r="X19" i="10" l="1"/>
  <c r="P13" i="29" l="1"/>
  <c r="F13" i="29" l="1"/>
  <c r="O13" i="29"/>
  <c r="F14" i="29"/>
  <c r="F15" i="29" s="1"/>
  <c r="J14" i="29"/>
  <c r="J15" i="29" s="1"/>
  <c r="P15" i="29"/>
  <c r="S15" i="29"/>
  <c r="Q15" i="29"/>
  <c r="R15" i="29"/>
  <c r="O15" i="29" l="1"/>
  <c r="G21" i="4" l="1"/>
  <c r="G58" i="20" l="1"/>
  <c r="G57" i="20"/>
  <c r="G28" i="20"/>
  <c r="G26" i="20"/>
  <c r="G25" i="20"/>
  <c r="F8" i="20"/>
  <c r="F58" i="20"/>
  <c r="F57" i="20"/>
  <c r="F55" i="20" s="1"/>
  <c r="F28" i="20"/>
  <c r="F26" i="20"/>
  <c r="F25" i="20"/>
  <c r="G46" i="6" l="1"/>
  <c r="C12" i="7" s="1"/>
  <c r="C83" i="20"/>
  <c r="C17" i="11" l="1"/>
  <c r="F79" i="20"/>
  <c r="E79" i="20"/>
  <c r="D83" i="20"/>
  <c r="D80" i="20"/>
  <c r="E80" i="20" s="1"/>
  <c r="C80" i="20"/>
  <c r="F78" i="20"/>
  <c r="E78" i="20"/>
  <c r="E55" i="20"/>
  <c r="G55" i="20" s="1"/>
  <c r="D55" i="20"/>
  <c r="C55" i="20"/>
  <c r="D52" i="20"/>
  <c r="C52" i="20"/>
  <c r="F50" i="20"/>
  <c r="E50" i="20"/>
  <c r="F80" i="20" l="1"/>
  <c r="F52" i="20"/>
  <c r="E52" i="20"/>
  <c r="E27" i="20"/>
  <c r="D23" i="20"/>
  <c r="C23" i="20"/>
  <c r="G27" i="20" l="1"/>
  <c r="F27" i="20"/>
  <c r="F23" i="20" s="1"/>
  <c r="E23" i="20"/>
  <c r="G23" i="20" s="1"/>
  <c r="E14" i="20" l="1"/>
  <c r="G15" i="20"/>
  <c r="E15" i="20"/>
  <c r="G14" i="20"/>
  <c r="C16" i="20"/>
  <c r="E16" i="20" s="1"/>
  <c r="D16" i="20"/>
  <c r="F9" i="20"/>
  <c r="E9" i="20"/>
  <c r="E8" i="20"/>
  <c r="C10" i="20"/>
  <c r="D10" i="20"/>
  <c r="F10" i="20" l="1"/>
  <c r="G16" i="20"/>
  <c r="E10" i="20"/>
  <c r="G19" i="20" l="1"/>
  <c r="X15" i="10"/>
  <c r="X14" i="10"/>
  <c r="W18" i="10" l="1"/>
  <c r="V18" i="10"/>
  <c r="R18" i="10" s="1"/>
  <c r="U18" i="10"/>
  <c r="T18" i="10"/>
  <c r="S18" i="10"/>
  <c r="W17" i="10"/>
  <c r="V17" i="10"/>
  <c r="U17" i="10"/>
  <c r="T17" i="10"/>
  <c r="S17" i="10"/>
  <c r="R17" i="10" s="1"/>
  <c r="W16" i="10"/>
  <c r="V16" i="10"/>
  <c r="U16" i="10"/>
  <c r="T16" i="10"/>
  <c r="R16" i="10" s="1"/>
  <c r="S16" i="10"/>
  <c r="W15" i="10"/>
  <c r="V15" i="10"/>
  <c r="U15" i="10"/>
  <c r="T15" i="10"/>
  <c r="S15" i="10"/>
  <c r="W14" i="10"/>
  <c r="V14" i="10"/>
  <c r="U14" i="10"/>
  <c r="T14" i="10"/>
  <c r="S14" i="10"/>
  <c r="W13" i="10"/>
  <c r="V13" i="10"/>
  <c r="U13" i="10"/>
  <c r="T13" i="10"/>
  <c r="S13" i="10"/>
  <c r="Q19" i="10"/>
  <c r="D19" i="8" s="1"/>
  <c r="D47" i="11" s="1"/>
  <c r="D67" i="11" s="1"/>
  <c r="C19" i="8"/>
  <c r="P19" i="10"/>
  <c r="D14" i="8" s="1"/>
  <c r="D43" i="11" s="1"/>
  <c r="N19" i="10"/>
  <c r="D13" i="8" s="1"/>
  <c r="D42" i="11" s="1"/>
  <c r="R15" i="10"/>
  <c r="L17" i="10"/>
  <c r="L16" i="10"/>
  <c r="L15" i="10"/>
  <c r="L14" i="10"/>
  <c r="C14" i="8"/>
  <c r="C43" i="11" s="1"/>
  <c r="C18" i="8"/>
  <c r="C13" i="8"/>
  <c r="C12" i="8"/>
  <c r="O19" i="10"/>
  <c r="D18" i="8" s="1"/>
  <c r="D46" i="11" s="1"/>
  <c r="D15" i="7"/>
  <c r="D20" i="11" s="1"/>
  <c r="Z45" i="6"/>
  <c r="Y45" i="6"/>
  <c r="X45" i="6"/>
  <c r="W45" i="6"/>
  <c r="Z44" i="6"/>
  <c r="Y44" i="6"/>
  <c r="X44" i="6"/>
  <c r="W44" i="6"/>
  <c r="Z43" i="6"/>
  <c r="Y43" i="6"/>
  <c r="X43" i="6"/>
  <c r="W43" i="6"/>
  <c r="Z42" i="6"/>
  <c r="Y42" i="6"/>
  <c r="X42" i="6"/>
  <c r="W42" i="6"/>
  <c r="Z41" i="6"/>
  <c r="Y41" i="6"/>
  <c r="X41" i="6"/>
  <c r="W41" i="6"/>
  <c r="Z40" i="6"/>
  <c r="Y40" i="6"/>
  <c r="X40" i="6"/>
  <c r="W40" i="6"/>
  <c r="Z39" i="6"/>
  <c r="Y39" i="6"/>
  <c r="X39" i="6"/>
  <c r="W39" i="6"/>
  <c r="Z38" i="6"/>
  <c r="Y38" i="6"/>
  <c r="X38" i="6"/>
  <c r="W38" i="6"/>
  <c r="Z37" i="6"/>
  <c r="Y37" i="6"/>
  <c r="X37" i="6"/>
  <c r="W37" i="6"/>
  <c r="Z36" i="6"/>
  <c r="Y36" i="6"/>
  <c r="X36" i="6"/>
  <c r="W36" i="6"/>
  <c r="Z35" i="6"/>
  <c r="Y35" i="6"/>
  <c r="X35" i="6"/>
  <c r="W35" i="6"/>
  <c r="Z34" i="6"/>
  <c r="Y34" i="6"/>
  <c r="X34" i="6"/>
  <c r="W34" i="6"/>
  <c r="Z33" i="6"/>
  <c r="Y33" i="6"/>
  <c r="X33" i="6"/>
  <c r="W33" i="6"/>
  <c r="Z32" i="6"/>
  <c r="Y32" i="6"/>
  <c r="X32" i="6"/>
  <c r="W32" i="6"/>
  <c r="Z31" i="6"/>
  <c r="Y31" i="6"/>
  <c r="X31" i="6"/>
  <c r="W31" i="6"/>
  <c r="Z30" i="6"/>
  <c r="Y30" i="6"/>
  <c r="X30" i="6"/>
  <c r="W30" i="6"/>
  <c r="Z29" i="6"/>
  <c r="Y29" i="6"/>
  <c r="X29" i="6"/>
  <c r="W29" i="6"/>
  <c r="Z28" i="6"/>
  <c r="Y28" i="6"/>
  <c r="X28" i="6"/>
  <c r="W28" i="6"/>
  <c r="Z27" i="6"/>
  <c r="Y27" i="6"/>
  <c r="X27" i="6"/>
  <c r="W27" i="6"/>
  <c r="Z26" i="6"/>
  <c r="Y26" i="6"/>
  <c r="X26" i="6"/>
  <c r="W26" i="6"/>
  <c r="Z25" i="6"/>
  <c r="Y25" i="6"/>
  <c r="X25" i="6"/>
  <c r="W25" i="6"/>
  <c r="Z24" i="6"/>
  <c r="Y24" i="6"/>
  <c r="X24" i="6"/>
  <c r="W24" i="6"/>
  <c r="Z23" i="6"/>
  <c r="Y23" i="6"/>
  <c r="X23" i="6"/>
  <c r="W23" i="6"/>
  <c r="Z22" i="6"/>
  <c r="Y22" i="6"/>
  <c r="X22" i="6"/>
  <c r="W22" i="6"/>
  <c r="Z21" i="6"/>
  <c r="Y21" i="6"/>
  <c r="X21" i="6"/>
  <c r="W21" i="6"/>
  <c r="Z20" i="6"/>
  <c r="Y20" i="6"/>
  <c r="X20" i="6"/>
  <c r="W20" i="6"/>
  <c r="Z19" i="6"/>
  <c r="Y19" i="6"/>
  <c r="X19" i="6"/>
  <c r="W19" i="6"/>
  <c r="Z18" i="6"/>
  <c r="Y18" i="6"/>
  <c r="X18" i="6"/>
  <c r="W18" i="6"/>
  <c r="Z17" i="6"/>
  <c r="Y17" i="6"/>
  <c r="X17" i="6"/>
  <c r="W17" i="6"/>
  <c r="Z16" i="6"/>
  <c r="Y16" i="6"/>
  <c r="X16" i="6"/>
  <c r="W16" i="6"/>
  <c r="Z15" i="6"/>
  <c r="Y15" i="6"/>
  <c r="X15" i="6"/>
  <c r="W15" i="6"/>
  <c r="Z14" i="6"/>
  <c r="Y14" i="6"/>
  <c r="X14" i="6"/>
  <c r="W14" i="6"/>
  <c r="Z13" i="6"/>
  <c r="Z46" i="6" s="1"/>
  <c r="Y13" i="6"/>
  <c r="X13" i="6"/>
  <c r="X46" i="6" s="1"/>
  <c r="W13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Y46" i="6"/>
  <c r="O46" i="6"/>
  <c r="D14" i="7" s="1"/>
  <c r="D19" i="11" s="1"/>
  <c r="N46" i="6"/>
  <c r="M46" i="6"/>
  <c r="D13" i="7" s="1"/>
  <c r="D18" i="11" s="1"/>
  <c r="L46" i="6"/>
  <c r="D12" i="7" s="1"/>
  <c r="D17" i="11" s="1"/>
  <c r="J46" i="6"/>
  <c r="C14" i="7" s="1"/>
  <c r="I46" i="6"/>
  <c r="H46" i="6"/>
  <c r="C13" i="7" s="1"/>
  <c r="D19" i="5"/>
  <c r="D37" i="11" s="1"/>
  <c r="D64" i="11" s="1"/>
  <c r="D18" i="5"/>
  <c r="D36" i="11" s="1"/>
  <c r="C19" i="5"/>
  <c r="C18" i="5"/>
  <c r="F18" i="5" s="1"/>
  <c r="L13" i="4"/>
  <c r="L20" i="4"/>
  <c r="L19" i="4"/>
  <c r="L18" i="4"/>
  <c r="L17" i="4"/>
  <c r="L16" i="4"/>
  <c r="L15" i="4"/>
  <c r="L14" i="4"/>
  <c r="F20" i="4"/>
  <c r="F19" i="4"/>
  <c r="F18" i="4"/>
  <c r="F17" i="4"/>
  <c r="F16" i="4"/>
  <c r="F15" i="4"/>
  <c r="F14" i="4"/>
  <c r="Q21" i="4"/>
  <c r="D17" i="5" s="1"/>
  <c r="D35" i="11" s="1"/>
  <c r="D60" i="11" s="1"/>
  <c r="K21" i="4"/>
  <c r="C17" i="5" s="1"/>
  <c r="F17" i="5" s="1"/>
  <c r="P21" i="4"/>
  <c r="D15" i="5" s="1"/>
  <c r="D33" i="11" s="1"/>
  <c r="O21" i="4"/>
  <c r="D22" i="5" s="1"/>
  <c r="D38" i="11" s="1"/>
  <c r="N21" i="4"/>
  <c r="D14" i="5" s="1"/>
  <c r="D32" i="11" s="1"/>
  <c r="M21" i="4"/>
  <c r="D13" i="5" s="1"/>
  <c r="D31" i="11" s="1"/>
  <c r="J21" i="4"/>
  <c r="C15" i="5" s="1"/>
  <c r="I21" i="4"/>
  <c r="C22" i="5" s="1"/>
  <c r="H21" i="4"/>
  <c r="C14" i="5" s="1"/>
  <c r="C13" i="5"/>
  <c r="L13" i="10"/>
  <c r="M19" i="10"/>
  <c r="D12" i="8" s="1"/>
  <c r="C15" i="8"/>
  <c r="L18" i="10"/>
  <c r="G14" i="5" l="1"/>
  <c r="F14" i="5"/>
  <c r="F15" i="5"/>
  <c r="G15" i="5"/>
  <c r="F13" i="5"/>
  <c r="G13" i="5"/>
  <c r="G22" i="5"/>
  <c r="F22" i="5"/>
  <c r="F19" i="5"/>
  <c r="G19" i="5"/>
  <c r="V35" i="6"/>
  <c r="V45" i="6"/>
  <c r="Y23" i="4"/>
  <c r="C31" i="11"/>
  <c r="C11" i="5"/>
  <c r="C38" i="11"/>
  <c r="D30" i="11"/>
  <c r="D29" i="11" s="1"/>
  <c r="C35" i="11"/>
  <c r="C60" i="11" s="1"/>
  <c r="C36" i="11"/>
  <c r="C32" i="11"/>
  <c r="C33" i="11"/>
  <c r="C37" i="11"/>
  <c r="C64" i="11" s="1"/>
  <c r="D61" i="11"/>
  <c r="D45" i="11"/>
  <c r="D66" i="11"/>
  <c r="D65" i="11" s="1"/>
  <c r="D59" i="11"/>
  <c r="D41" i="11"/>
  <c r="D58" i="11" s="1"/>
  <c r="D10" i="8"/>
  <c r="D16" i="8" s="1"/>
  <c r="R14" i="10"/>
  <c r="C44" i="11"/>
  <c r="J15" i="8"/>
  <c r="C42" i="11"/>
  <c r="J13" i="8"/>
  <c r="I13" i="8"/>
  <c r="C41" i="11"/>
  <c r="J12" i="8"/>
  <c r="J18" i="8"/>
  <c r="C46" i="11"/>
  <c r="I18" i="8"/>
  <c r="C17" i="8"/>
  <c r="C47" i="11"/>
  <c r="C67" i="11" s="1"/>
  <c r="L19" i="10"/>
  <c r="I15" i="8"/>
  <c r="D16" i="11"/>
  <c r="C18" i="11"/>
  <c r="C10" i="7"/>
  <c r="C19" i="11"/>
  <c r="V43" i="6"/>
  <c r="L21" i="4"/>
  <c r="W19" i="10"/>
  <c r="U19" i="10"/>
  <c r="V27" i="6"/>
  <c r="F46" i="6"/>
  <c r="E85" i="20"/>
  <c r="E87" i="20"/>
  <c r="F21" i="4"/>
  <c r="E88" i="20"/>
  <c r="E86" i="20"/>
  <c r="E89" i="20"/>
  <c r="E90" i="20"/>
  <c r="V13" i="6"/>
  <c r="V24" i="6"/>
  <c r="V25" i="6"/>
  <c r="V39" i="6"/>
  <c r="V36" i="6"/>
  <c r="V19" i="6"/>
  <c r="V26" i="6"/>
  <c r="V28" i="6"/>
  <c r="V30" i="6"/>
  <c r="V31" i="6"/>
  <c r="V32" i="6"/>
  <c r="V34" i="6"/>
  <c r="V40" i="6"/>
  <c r="V42" i="6"/>
  <c r="V44" i="6"/>
  <c r="V23" i="6"/>
  <c r="V29" i="6"/>
  <c r="V33" i="6"/>
  <c r="V37" i="6"/>
  <c r="V41" i="6"/>
  <c r="K46" i="6"/>
  <c r="D10" i="7"/>
  <c r="V38" i="6"/>
  <c r="V15" i="6"/>
  <c r="V14" i="6"/>
  <c r="V16" i="6"/>
  <c r="V17" i="6"/>
  <c r="V18" i="6"/>
  <c r="V20" i="6"/>
  <c r="V21" i="6"/>
  <c r="V22" i="6"/>
  <c r="W46" i="6"/>
  <c r="V19" i="10"/>
  <c r="T19" i="10"/>
  <c r="S19" i="10"/>
  <c r="C10" i="8"/>
  <c r="R13" i="10"/>
  <c r="R19" i="10" s="1"/>
  <c r="D11" i="5"/>
  <c r="D20" i="5" s="1"/>
  <c r="D24" i="5" s="1"/>
  <c r="I12" i="8"/>
  <c r="H12" i="8" s="1"/>
  <c r="F11" i="5" l="1"/>
  <c r="G11" i="5"/>
  <c r="C58" i="11"/>
  <c r="H13" i="8"/>
  <c r="H15" i="8"/>
  <c r="C66" i="11"/>
  <c r="C61" i="11"/>
  <c r="C59" i="11"/>
  <c r="C30" i="11"/>
  <c r="C40" i="11"/>
  <c r="D40" i="11"/>
  <c r="D39" i="11" s="1"/>
  <c r="D49" i="11" s="1"/>
  <c r="D57" i="11"/>
  <c r="D69" i="11" s="1"/>
  <c r="D72" i="11" s="1"/>
  <c r="C16" i="11"/>
  <c r="C45" i="11"/>
  <c r="E21" i="8"/>
  <c r="D17" i="8"/>
  <c r="D21" i="8" s="1"/>
  <c r="C20" i="5"/>
  <c r="C16" i="7"/>
  <c r="V46" i="6"/>
  <c r="F89" i="20"/>
  <c r="G89" i="20"/>
  <c r="G86" i="20"/>
  <c r="F86" i="20"/>
  <c r="G88" i="20"/>
  <c r="F88" i="20"/>
  <c r="G90" i="20"/>
  <c r="F90" i="20"/>
  <c r="F87" i="20"/>
  <c r="G87" i="20"/>
  <c r="F85" i="20"/>
  <c r="G85" i="20"/>
  <c r="E83" i="20"/>
  <c r="G83" i="20" s="1"/>
  <c r="D16" i="7"/>
  <c r="C16" i="8"/>
  <c r="C21" i="8" s="1"/>
  <c r="H18" i="8"/>
  <c r="G59" i="11" l="1"/>
  <c r="F59" i="11"/>
  <c r="C65" i="11"/>
  <c r="G66" i="11"/>
  <c r="F66" i="11"/>
  <c r="G61" i="11"/>
  <c r="F61" i="11"/>
  <c r="G58" i="11"/>
  <c r="F58" i="11"/>
  <c r="G20" i="5"/>
  <c r="F20" i="5"/>
  <c r="C24" i="5"/>
  <c r="C29" i="11"/>
  <c r="C57" i="11"/>
  <c r="C39" i="11"/>
  <c r="I14" i="8"/>
  <c r="J14" i="8"/>
  <c r="F83" i="20"/>
  <c r="E23" i="8"/>
  <c r="F57" i="11" l="1"/>
  <c r="G57" i="11"/>
  <c r="F65" i="11"/>
  <c r="G65" i="11"/>
  <c r="G24" i="5"/>
  <c r="F24" i="5"/>
  <c r="C49" i="11"/>
  <c r="C69" i="11"/>
  <c r="I10" i="8"/>
  <c r="J10" i="8"/>
  <c r="J16" i="8" s="1"/>
  <c r="J21" i="8" s="1"/>
  <c r="H14" i="8"/>
  <c r="F69" i="11" l="1"/>
  <c r="G69" i="11"/>
  <c r="F49" i="11"/>
  <c r="G49" i="11"/>
  <c r="C72" i="11"/>
  <c r="I16" i="8"/>
  <c r="H10" i="8"/>
  <c r="G72" i="11" l="1"/>
  <c r="F72" i="11"/>
  <c r="H16" i="8"/>
  <c r="H21" i="8" s="1"/>
  <c r="I21" i="8"/>
</calcChain>
</file>

<file path=xl/comments1.xml><?xml version="1.0" encoding="utf-8"?>
<comments xmlns="http://schemas.openxmlformats.org/spreadsheetml/2006/main">
  <authors>
    <author>Dostálová Anna</author>
  </authors>
  <commentList>
    <comment ref="E14" authorId="0">
      <text>
        <r>
          <rPr>
            <b/>
            <sz val="9"/>
            <color indexed="81"/>
            <rFont val="Tahoma"/>
            <family val="2"/>
            <charset val="238"/>
          </rPr>
          <t>Rozdíl 20 tis. Kč zaokrouhl.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Dostálová Anna</author>
  </authors>
  <commentList>
    <comment ref="Q103" authorId="0">
      <text>
        <r>
          <rPr>
            <b/>
            <sz val="9"/>
            <color indexed="81"/>
            <rFont val="Tahoma"/>
            <family val="2"/>
            <charset val="238"/>
          </rPr>
          <t>SOŠ a DM, Na Vlčinci Olomouc - EPC metoda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Dostálová Anna</author>
  </authors>
  <commentList>
    <comment ref="N91" authorId="0">
      <text>
        <r>
          <rPr>
            <b/>
            <sz val="9"/>
            <color indexed="81"/>
            <rFont val="Tahoma"/>
            <family val="2"/>
            <charset val="238"/>
          </rPr>
          <t>EPC metoda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Dostálová Anna</author>
  </authors>
  <commentList>
    <comment ref="Q38" authorId="0">
      <text>
        <r>
          <rPr>
            <b/>
            <sz val="9"/>
            <color indexed="81"/>
            <rFont val="Tahoma"/>
            <family val="2"/>
            <charset val="238"/>
          </rPr>
          <t>EPC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57" authorId="0">
      <text>
        <r>
          <rPr>
            <b/>
            <sz val="9"/>
            <color indexed="81"/>
            <rFont val="Tahoma"/>
            <family val="2"/>
            <charset val="238"/>
          </rPr>
          <t>Dostálová Anna:</t>
        </r>
        <r>
          <rPr>
            <sz val="9"/>
            <color indexed="81"/>
            <rFont val="Tahoma"/>
            <family val="2"/>
            <charset val="238"/>
          </rPr>
          <t xml:space="preserve">
EPC metoda</t>
        </r>
      </text>
    </comment>
  </commentList>
</comments>
</file>

<file path=xl/sharedStrings.xml><?xml version="1.0" encoding="utf-8"?>
<sst xmlns="http://schemas.openxmlformats.org/spreadsheetml/2006/main" count="2308" uniqueCount="557">
  <si>
    <t>Organizace v oblasti kultury</t>
  </si>
  <si>
    <t>ORJ - 13</t>
  </si>
  <si>
    <t>Správce:</t>
  </si>
  <si>
    <t>vedoucí odboru</t>
  </si>
  <si>
    <t>v tis. Kč</t>
  </si>
  <si>
    <t>Nárůst /v tis. Kč/</t>
  </si>
  <si>
    <t>Rozpočtová skladba</t>
  </si>
  <si>
    <t>Okres</t>
  </si>
  <si>
    <t>Název organizace</t>
  </si>
  <si>
    <t>Z toho :</t>
  </si>
  <si>
    <t>Neinvestiční příspěvek celkem OK</t>
  </si>
  <si>
    <t>Příspěvek na provoz</t>
  </si>
  <si>
    <t>Příspěvek na provoz-mzdové náklady</t>
  </si>
  <si>
    <t>Příspěvek na provoz-nájemné</t>
  </si>
  <si>
    <t>Příspěvek na provoz-odpisy</t>
  </si>
  <si>
    <t>org.</t>
  </si>
  <si>
    <t>§</t>
  </si>
  <si>
    <t>/UZ 00 020/</t>
  </si>
  <si>
    <t>/UZ 00 027/</t>
  </si>
  <si>
    <t>/UZ 00 023/</t>
  </si>
  <si>
    <t>/UZ 00 006/</t>
  </si>
  <si>
    <t>pol. 5331</t>
  </si>
  <si>
    <t>0030003000000</t>
  </si>
  <si>
    <t>3319</t>
  </si>
  <si>
    <t>0030003001601</t>
  </si>
  <si>
    <t>3314</t>
  </si>
  <si>
    <t>Vědecká knihovna v Olomouci</t>
  </si>
  <si>
    <t>0030003001602</t>
  </si>
  <si>
    <t>3315</t>
  </si>
  <si>
    <t>Vlastivědné muzeum v Olomouci</t>
  </si>
  <si>
    <t>0030003001603</t>
  </si>
  <si>
    <t>Vlastivědné muzeum Jesenicka, p. o.</t>
  </si>
  <si>
    <t>0030003001604</t>
  </si>
  <si>
    <t>0030003001606</t>
  </si>
  <si>
    <t>Muzeum Komenského v Přerově, p. o.</t>
  </si>
  <si>
    <t>0030003001607</t>
  </si>
  <si>
    <t>Vlastivědné muzeum v Šumperku, p. o.</t>
  </si>
  <si>
    <t>0030003001608</t>
  </si>
  <si>
    <t>Archeologické centrum Olomouc, p. o.</t>
  </si>
  <si>
    <t>CELKEM</t>
  </si>
  <si>
    <t>Celkem</t>
  </si>
  <si>
    <t>-    Nájemné (UZ 00 023)</t>
  </si>
  <si>
    <t>-    REZERVA (UZ 00 201)</t>
  </si>
  <si>
    <t>-    REZERVA (UZ 00 020)</t>
  </si>
  <si>
    <t xml:space="preserve">             - odpisy (UZ 00 006)</t>
  </si>
  <si>
    <t xml:space="preserve">             - příspěvek na provoz-mzdy (UZ 00 027)</t>
  </si>
  <si>
    <t xml:space="preserve">             - příspěvek na provoz (UZ 00 020)</t>
  </si>
  <si>
    <t xml:space="preserve">         Z toho:</t>
  </si>
  <si>
    <t>-    Příspěvkové organizace</t>
  </si>
  <si>
    <t>sl.3</t>
  </si>
  <si>
    <t>sl.2</t>
  </si>
  <si>
    <t>Organizace</t>
  </si>
  <si>
    <t xml:space="preserve">              vedoucí odboru</t>
  </si>
  <si>
    <t>Správce: PhDr. Jindřich Garčic</t>
  </si>
  <si>
    <t>/UZ 00 201/</t>
  </si>
  <si>
    <r>
      <t xml:space="preserve">Příspěvek na provoz  </t>
    </r>
    <r>
      <rPr>
        <sz val="6"/>
        <rFont val="Arial"/>
        <family val="2"/>
        <charset val="238"/>
      </rPr>
      <t>(záchr. archeolog. výzkum)</t>
    </r>
  </si>
  <si>
    <t xml:space="preserve">Rezerva pro příspěvkové organizace </t>
  </si>
  <si>
    <t>0030002001663</t>
  </si>
  <si>
    <t>4357</t>
  </si>
  <si>
    <t>0030002001662</t>
  </si>
  <si>
    <t>0030002001661</t>
  </si>
  <si>
    <t>0030002001660</t>
  </si>
  <si>
    <t>0030002001659</t>
  </si>
  <si>
    <t>0030002001658</t>
  </si>
  <si>
    <t>0030002001657</t>
  </si>
  <si>
    <t>0030002001656</t>
  </si>
  <si>
    <t>0030002001655</t>
  </si>
  <si>
    <t>4351</t>
  </si>
  <si>
    <t>0030002001654</t>
  </si>
  <si>
    <t>0030002001653</t>
  </si>
  <si>
    <t>0030002001652</t>
  </si>
  <si>
    <t>0030002001651</t>
  </si>
  <si>
    <t>4356</t>
  </si>
  <si>
    <t>0030002001650</t>
  </si>
  <si>
    <t>0030002001649</t>
  </si>
  <si>
    <t>4354</t>
  </si>
  <si>
    <t>0030002001648</t>
  </si>
  <si>
    <t>0030002001647</t>
  </si>
  <si>
    <t>0030002001646</t>
  </si>
  <si>
    <t>0030002001645</t>
  </si>
  <si>
    <t>0030002001644</t>
  </si>
  <si>
    <t>4372</t>
  </si>
  <si>
    <t>0030002001642</t>
  </si>
  <si>
    <t>0030002001641</t>
  </si>
  <si>
    <t>0030002001640</t>
  </si>
  <si>
    <t>0030002001639</t>
  </si>
  <si>
    <t>0030002001638</t>
  </si>
  <si>
    <t>0030002001637</t>
  </si>
  <si>
    <t>0030002001636</t>
  </si>
  <si>
    <t>0030002001635</t>
  </si>
  <si>
    <t>0030002001634</t>
  </si>
  <si>
    <t>0030002001633</t>
  </si>
  <si>
    <t>Domov důchodců Kobylá nad Vidnavkou, p. o.</t>
  </si>
  <si>
    <t>0030002001632</t>
  </si>
  <si>
    <t>Domov pro seniory Javorník, p. o.</t>
  </si>
  <si>
    <t>0030002001631</t>
  </si>
  <si>
    <t>0030002000000</t>
  </si>
  <si>
    <t>4399</t>
  </si>
  <si>
    <t>ORJ - 11</t>
  </si>
  <si>
    <t>Organizace v oblasti sociálních služeb</t>
  </si>
  <si>
    <t>Rezerva pro příspěvkové organizace(UZ 00 020)</t>
  </si>
  <si>
    <t>Domov Sněženka Jeseník,p.o.</t>
  </si>
  <si>
    <t>Středisko pečovatelské služby Jeseník, p.o.</t>
  </si>
  <si>
    <t>Domov důchodců Červenka, p.o.</t>
  </si>
  <si>
    <t>Domov seniorů FRANTIŠEK Náměšť na Hané, p.o.</t>
  </si>
  <si>
    <t>Domov důchodců Hrubá Voda, p.o.</t>
  </si>
  <si>
    <t>Domov seniorů POHODA Chválkovice, p.o.</t>
  </si>
  <si>
    <t>Sociální služby pro seniory Olomouc, p.o.</t>
  </si>
  <si>
    <t>Vincentinum - poskytovatel soc. služeb Šternberk, p.o.</t>
  </si>
  <si>
    <t>Klíč - centrum sociálních služeb, p.o.</t>
  </si>
  <si>
    <t>Nové Zámky - poskytovatel sociálních služeb, p.o.</t>
  </si>
  <si>
    <t>Domov důchodců Šumperk, p.o.</t>
  </si>
  <si>
    <t>Domov důchodců Libina, p.o.</t>
  </si>
  <si>
    <t>Domov důchodců Štíty, p.o.</t>
  </si>
  <si>
    <t>Sociální služby Šumperk, p.o.</t>
  </si>
  <si>
    <t>Penzion pro důchodce Loštice, p.o.</t>
  </si>
  <si>
    <t>Domov Paprsek Olšany, p.o.</t>
  </si>
  <si>
    <t>Duha - centrum sociálních služeb Vikýřovice, p.o.</t>
  </si>
  <si>
    <t>Domov důchodců Prostějov, p.o.</t>
  </si>
  <si>
    <t>Domov důchodců Jesenec, p.o.</t>
  </si>
  <si>
    <t>Domov "Na Zámku" , p.o.</t>
  </si>
  <si>
    <t>Sociální služby Prostějov, p.o.</t>
  </si>
  <si>
    <t>Centrum sociálních služeb Prostějov, p.o.</t>
  </si>
  <si>
    <t>Domov pro seniory Radkova Lhota, p.o.</t>
  </si>
  <si>
    <t>Domov Alfreda Skeneho Pavlovice u Přerova, p.o.</t>
  </si>
  <si>
    <t>Domov pro seniory Tovačov, p.o.</t>
  </si>
  <si>
    <t>Domov Větrný mlýn Skalička, p.o.</t>
  </si>
  <si>
    <t>Centrum Dominika Kokory, p.o.</t>
  </si>
  <si>
    <t>Domov ADAM Dřevohostice, p.o.</t>
  </si>
  <si>
    <t>Domov Na zámečku Rokytnice, p.o.</t>
  </si>
  <si>
    <t>ORJ - 14</t>
  </si>
  <si>
    <t>Organizace v oblasti zdravotnictví</t>
  </si>
  <si>
    <t>0030005001704</t>
  </si>
  <si>
    <t>3533</t>
  </si>
  <si>
    <t>0030005001703</t>
  </si>
  <si>
    <t>3529</t>
  </si>
  <si>
    <t>0030005001702</t>
  </si>
  <si>
    <t>0030005001701</t>
  </si>
  <si>
    <t>3523</t>
  </si>
  <si>
    <t>0030005001700</t>
  </si>
  <si>
    <t>Rezerva pro příspěvkové organizace (zdravotnictví)</t>
  </si>
  <si>
    <t>0030005000000</t>
  </si>
  <si>
    <t>3599</t>
  </si>
  <si>
    <t>Dětské centrum Pavučinka Šumperk, p.o.</t>
  </si>
  <si>
    <t>Celkem příspěvkové organizace</t>
  </si>
  <si>
    <t>b) nájemné /UZ 00 023/</t>
  </si>
  <si>
    <t xml:space="preserve">    - REZERVA /UZ 00 020/</t>
  </si>
  <si>
    <t xml:space="preserve">    - příspěvek na provoz /UZ 00 027/</t>
  </si>
  <si>
    <t xml:space="preserve">    - příspěvek na provoz /UZ 00 020/</t>
  </si>
  <si>
    <t>a) organizace - příspěvek na provoz</t>
  </si>
  <si>
    <t xml:space="preserve">    - REZERVA /UZ 00 201/</t>
  </si>
  <si>
    <t>Organizace v oblasti dopravy</t>
  </si>
  <si>
    <t>Organizace v oblasti sociální</t>
  </si>
  <si>
    <t>Organizace v oblasti školství</t>
  </si>
  <si>
    <t>pol. 6351</t>
  </si>
  <si>
    <r>
      <t xml:space="preserve">Investiční příspěvek celkem OK </t>
    </r>
    <r>
      <rPr>
        <b/>
        <sz val="6"/>
        <rFont val="Arial"/>
        <family val="2"/>
        <charset val="238"/>
      </rPr>
      <t>(příspěvek na provoz - nájemné -investiční)</t>
    </r>
  </si>
  <si>
    <t>pol.6351</t>
  </si>
  <si>
    <t>ORJ - 12</t>
  </si>
  <si>
    <t>Správa silnic Olomouckého kraje, p. o.</t>
  </si>
  <si>
    <t>0030004001600</t>
  </si>
  <si>
    <t>0030004001599</t>
  </si>
  <si>
    <t xml:space="preserve">                 vedoucí odboru</t>
  </si>
  <si>
    <t xml:space="preserve">b) Příspěvkové organizace zřizované Olomouckým krajem </t>
  </si>
  <si>
    <t>Zdravotnická záchranná služba Olomouckého kraje, p.o.</t>
  </si>
  <si>
    <t>Výpočet odvodů</t>
  </si>
  <si>
    <t>Rozpočty příspěvků na provoz příspěvkových organizací odboru zdravotnictví na rok 2013 jsou o 7 131 tis. Kč nižší než schválený rozpočet 2012 ( v limitu požadováno snížení příspěvku na provoz ve výši 10 100 tis. kč). U všech příspěvkových organizací bylo zapracováno požadované snížení příspěvku na provoz, vyjímkou je příspěvková organizace Odborný léčebný ústav neurologicko-geriatrický Moravský Beroun,kde rozpočet (příspěvek na provoz) pro rok 2013, je zdůvodu zabezpečení vyrovnaného rozpočtu, ponechán  na úrovni schváleného rozpočtu 2012 (tj. 9 600 tis.Kč).</t>
  </si>
  <si>
    <t>Zvláštní situace je i u  Zdravotnické záchranné služby, kde došlo v průběhu roku 2012 k navýšení platů zaměstnanců na základě Memoranda o úpravě platů, které bylo uzavřeno dne 13.4.2012 mezi Olomouckým krajem  a Místní organizací Odborového svazu zdravotnictví a sociální péče příspěvkové organizace. Z tohoto důvodu je místo plánovaného snížení provozních prostředků o 5% tedy o 7 710 tis. Kč, realizováno snížení provozního příspěvku  pouze o 4 300 tis. Kč.</t>
  </si>
  <si>
    <t>Oblast zdravotnictví</t>
  </si>
  <si>
    <t>SR 2012</t>
  </si>
  <si>
    <t>%</t>
  </si>
  <si>
    <t>Snížení</t>
  </si>
  <si>
    <t>Kč</t>
  </si>
  <si>
    <t>Poz. : přesun 1 mil. Kč z UZ 00 027 na UZ 00 020 (SZPD Olomouc)</t>
  </si>
  <si>
    <t>Limit 2013</t>
  </si>
  <si>
    <t>Rozdíl mezi limitem a návrhem odboru:</t>
  </si>
  <si>
    <t>Odbor měl ještě snížit o</t>
  </si>
  <si>
    <t>Návrh odboru 2013</t>
  </si>
  <si>
    <t>Rekapitulace:</t>
  </si>
  <si>
    <t xml:space="preserve"> -provozní příspěvek UZ 0 020</t>
  </si>
  <si>
    <t xml:space="preserve"> -provozní příspěvek - mzdy UZ 00 027</t>
  </si>
  <si>
    <t xml:space="preserve"> -limit  - provozní příspěvek - mzdy UZ 00 027</t>
  </si>
  <si>
    <t>Rozdíl - (je nutno ještě snížit)</t>
  </si>
  <si>
    <t>a) provozní příspěvek UZ 0 020</t>
  </si>
  <si>
    <t>b) provozní příspěvek - mzdy UZ 00 027</t>
  </si>
  <si>
    <t>c) provozní příspěvek UZ 0 023(i invest.)</t>
  </si>
  <si>
    <t>d) provozní příspěvek UZ 0 006</t>
  </si>
  <si>
    <t>Poz.:</t>
  </si>
  <si>
    <t>Oblast sociální</t>
  </si>
  <si>
    <t>b) provozní příspěvek UZ 0 006</t>
  </si>
  <si>
    <t>Oblast kultury</t>
  </si>
  <si>
    <t>c) provozní příspěvek UZ 0 023</t>
  </si>
  <si>
    <t>e) provozní příspěvek UZ 0 201</t>
  </si>
  <si>
    <t>f) provozní příspěvek UZ 0 013</t>
  </si>
  <si>
    <t>Středisko sociální prevence Olomouc, p.o.</t>
  </si>
  <si>
    <t>Ve skutečnosti sníženo(-)/překročen limit /+/</t>
  </si>
  <si>
    <t>Rozdíl oproti SR 2012</t>
  </si>
  <si>
    <t>Pro rok 2013 je pro příspěvkové organizace ze sociální  oblasti rozpočtována částka v celkové výši 278 957 tis. Kč, z toho částka 139 485 tis. Kč byla rozepsána na jednotlivé příspěvkové organizace a  139 472 tis. Kč bylo převedeno do rezervy odboru sociálních věcí, tato částka bude uvolněna na příspěvkové organizace po schválení dotačního titulu z MPSV.</t>
  </si>
  <si>
    <r>
      <t xml:space="preserve">V částce 278 957 tis. Kč je zahrnuta i částka ve výši </t>
    </r>
    <r>
      <rPr>
        <b/>
        <sz val="10"/>
        <rFont val="Arial"/>
        <family val="2"/>
        <charset val="238"/>
      </rPr>
      <t>20 384 tis. Kč</t>
    </r>
    <r>
      <rPr>
        <sz val="10"/>
        <rFont val="Arial"/>
        <family val="2"/>
        <charset val="238"/>
      </rPr>
      <t xml:space="preserve">, která je určena na zabezpečení neuznatelných nákladů ze strany MPSV, pro rok 2012 byla rozpočtována částka pro Středisko sociální péče ve výši 2 671 tis. Kč. Jedná se </t>
    </r>
    <r>
      <rPr>
        <b/>
        <sz val="10"/>
        <rFont val="Arial"/>
        <family val="2"/>
        <charset val="238"/>
      </rPr>
      <t>o zajištění provozu nového pavilonu Domova seniorů Pohoda Chválkovice ve výši 139 472 tis. Kč,</t>
    </r>
    <r>
      <rPr>
        <sz val="10"/>
        <rFont val="Arial"/>
        <family val="2"/>
        <charset val="238"/>
      </rPr>
      <t xml:space="preserve"> částka </t>
    </r>
    <r>
      <rPr>
        <b/>
        <sz val="10"/>
        <rFont val="Arial"/>
        <family val="2"/>
        <charset val="238"/>
      </rPr>
      <t>300 tis. Kč je určena na zajištění zvýšených nákladů v souvislosti s realizací přístavby nového pavilonu</t>
    </r>
    <r>
      <rPr>
        <sz val="10"/>
        <rFont val="Arial"/>
        <family val="2"/>
        <charset val="238"/>
      </rPr>
      <t xml:space="preserve"> (nezahrnuje výdaje na provoz, které jsou předpokládány až v r. 2014) pro </t>
    </r>
    <r>
      <rPr>
        <b/>
        <sz val="10"/>
        <rFont val="Arial"/>
        <family val="2"/>
        <charset val="238"/>
      </rPr>
      <t>Domov seniory Radkova Lhota</t>
    </r>
    <r>
      <rPr>
        <sz val="10"/>
        <rFont val="Arial"/>
        <family val="2"/>
        <charset val="238"/>
      </rPr>
      <t xml:space="preserve"> a</t>
    </r>
    <r>
      <rPr>
        <b/>
        <sz val="10"/>
        <rFont val="Arial"/>
        <family val="2"/>
        <charset val="238"/>
      </rPr>
      <t xml:space="preserve"> 3 260 tis. Kč je určeno pro Středisko sociální prevence</t>
    </r>
    <r>
      <rPr>
        <sz val="10"/>
        <rFont val="Arial"/>
        <family val="2"/>
        <charset val="238"/>
      </rPr>
      <t xml:space="preserve"> na činnost sociálně právní ochrany dětí (novela zákona platná od 1.1.2013).</t>
    </r>
  </si>
  <si>
    <t xml:space="preserve">Organizace  Vědecká knihovna v Olomouci,  Vlastivědné muzeum v Olomouci a u Muzeum Komenského v Přerově předložily zvýšené rozpočty se svými požadavky. Ostatní organizace dodržely stanovený rozpis rozpočtu pro rok 2013 dle stanovených pokynů z OKPP v souladu s usnesením ROK ze dne 28.8.2012. Dle vyjádření odboru kultury budou také ostatní organizace požadovat navýšení rozpočtu, ale podklady zatím nebyly jimi předloženy. </t>
  </si>
  <si>
    <t>Odpisy</t>
  </si>
  <si>
    <t>002212</t>
  </si>
  <si>
    <t>Koordinátor IDS Olomouckého kraje</t>
  </si>
  <si>
    <t>002299</t>
  </si>
  <si>
    <t>Ing. Ladislav Růžička</t>
  </si>
  <si>
    <t>Správce: Mgr. Irena Sonntagová</t>
  </si>
  <si>
    <t>Správce: Ing. Ladislav Růžička</t>
  </si>
  <si>
    <t>/UZ 00 020,UZ 00 024/</t>
  </si>
  <si>
    <r>
      <t xml:space="preserve">    - příspěvek na provoz </t>
    </r>
    <r>
      <rPr>
        <sz val="9"/>
        <rFont val="Arial"/>
        <family val="2"/>
        <charset val="238"/>
      </rPr>
      <t>/UZ 00 020, UZ 00 024/</t>
    </r>
  </si>
  <si>
    <t>Limit schválený ROK ve výši  245 016 tis. Kč.</t>
  </si>
  <si>
    <t>Limit schválený ROK ve výši  500 695 tis. Kč.</t>
  </si>
  <si>
    <t>Limit schválený ROK ve výši  123 366 tis. Kč.</t>
  </si>
  <si>
    <t>Limit schválený ROK ve výši  226 263 tis. Kč.</t>
  </si>
  <si>
    <t>celkem</t>
  </si>
  <si>
    <t xml:space="preserve">Správce: Ing. Bohuslav Kolář, MBA </t>
  </si>
  <si>
    <t xml:space="preserve">                vedoucího odboru</t>
  </si>
  <si>
    <t>Pozn. : v upravené rozpočtu k 31.9.2014 není zahrnut přebytek hospodaření (UZ 00 024) a to ve výši 22 700 tis. Kč, které byly použity na provoz příspěvkových organizací z oblasti zdravotnictví.</t>
  </si>
  <si>
    <t>UPRAVENÝ ROZPOČET 2014 (k 31.9.2014)</t>
  </si>
  <si>
    <t>SCHVÁLENÝ ROZPOČET 2014</t>
  </si>
  <si>
    <t>Odpisy 2015</t>
  </si>
  <si>
    <t>Odvody</t>
  </si>
  <si>
    <t>UZ 020</t>
  </si>
  <si>
    <t>UZ 06</t>
  </si>
  <si>
    <t>DD</t>
  </si>
  <si>
    <t>ÚSP</t>
  </si>
  <si>
    <t>ost.</t>
  </si>
  <si>
    <t>MPSV</t>
  </si>
  <si>
    <t>/UZ 13 305/</t>
  </si>
  <si>
    <t>mpsv</t>
  </si>
  <si>
    <t>NÁVRH ROZPOČTU 2015 PO</t>
  </si>
  <si>
    <t>UPRAVENÝ ROZPOČET 2014     (k 30.9.2014)</t>
  </si>
  <si>
    <t>sl.1</t>
  </si>
  <si>
    <t>Srovnání (nárůst )</t>
  </si>
  <si>
    <t xml:space="preserve">    - odpisy (UZ 00 006)</t>
  </si>
  <si>
    <t>3. Výdaje Olomouckého kraje na rok 2015</t>
  </si>
  <si>
    <t>UPRAVENÝ ROZPOČET 2014 (k 30.9.2014)</t>
  </si>
  <si>
    <t>Muzeum a galerie v Prostějově, p. o.</t>
  </si>
  <si>
    <t xml:space="preserve"> - příspěvek na provoz (UZ 00 020)</t>
  </si>
  <si>
    <t xml:space="preserve"> - příspěvek na provoz-mzdy (UZ 00 027)</t>
  </si>
  <si>
    <t xml:space="preserve"> - odpisy (UZ 00 006)</t>
  </si>
  <si>
    <t xml:space="preserve"> -  neinvest. příspěvky zřízeným PO (UZ 00 201)</t>
  </si>
  <si>
    <t xml:space="preserve">    - neinvest. příspěvek  /UZ 00 201/</t>
  </si>
  <si>
    <t>UPRAVENÝ ROZPOČET k 30. 9. 2014</t>
  </si>
  <si>
    <t>UZ 60X</t>
  </si>
  <si>
    <t>UZ 39</t>
  </si>
  <si>
    <t xml:space="preserve">             - dopravní obslužnost (UZ 60x)</t>
  </si>
  <si>
    <t xml:space="preserve">             - ostatní příspěvky (UZ 39)</t>
  </si>
  <si>
    <t>ORJ - 10</t>
  </si>
  <si>
    <t>Správce: Mgr. Milan Gajdůšek, MBA</t>
  </si>
  <si>
    <t>UPRAVENÝ ROZPOČET 2014     (k 30.9. 2014)</t>
  </si>
  <si>
    <t>nájemné (UZ 00 023)</t>
  </si>
  <si>
    <t>/UZ 00 613/</t>
  </si>
  <si>
    <t>KIDSOK - účelově určenýé příspěvky</t>
  </si>
  <si>
    <t xml:space="preserve">             - ostatní příspěvky (UZ 613)</t>
  </si>
  <si>
    <t xml:space="preserve">1) Provozní příspěvky </t>
  </si>
  <si>
    <t>2) Dopravní oblslužnost</t>
  </si>
  <si>
    <t>a) Provozní příspěvky</t>
  </si>
  <si>
    <t>b)  Dopravní obslužnost</t>
  </si>
  <si>
    <t xml:space="preserve">   - příspěvek na provoz (UZ 00 020)</t>
  </si>
  <si>
    <t xml:space="preserve">   - příspěvek na provoz-mzdy (UZ 00 027)</t>
  </si>
  <si>
    <t xml:space="preserve">   - odpisy (UZ 00 006)</t>
  </si>
  <si>
    <t xml:space="preserve">   - ostatní příspěvky (UZ 613)</t>
  </si>
  <si>
    <t xml:space="preserve">   - ostatní příspěvky (UZ 39)</t>
  </si>
  <si>
    <t>Rezerva PO - odbor ekonomický</t>
  </si>
  <si>
    <t xml:space="preserve"> - Nájemné (UZ 00 023)</t>
  </si>
  <si>
    <t xml:space="preserve">              -pol.5331</t>
  </si>
  <si>
    <t xml:space="preserve">              -pol.6351</t>
  </si>
  <si>
    <t xml:space="preserve">             - příspěvek na provoz (UZ 00 020,UZ 00 024)</t>
  </si>
  <si>
    <t>Rekapitulace</t>
  </si>
  <si>
    <t>c) rezerva ekonomický odbor</t>
  </si>
  <si>
    <t>OKRES Olomouc</t>
  </si>
  <si>
    <t xml:space="preserve">        a)CELKEM ZA</t>
  </si>
  <si>
    <t>PPP a SPC Olomouckého kraje, Olomouc, U Sportovní haly 1</t>
  </si>
  <si>
    <t>Olomouc</t>
  </si>
  <si>
    <t>0030001001450</t>
  </si>
  <si>
    <t>003146</t>
  </si>
  <si>
    <t>Školní jídelna Olomouc - Hejčín, příspěvková org.</t>
  </si>
  <si>
    <t>0030001001420</t>
  </si>
  <si>
    <t>003142</t>
  </si>
  <si>
    <t>DD a Škol. jídelna, Olomouc, U Sportovní haly 1a</t>
  </si>
  <si>
    <t>0030001001400</t>
  </si>
  <si>
    <t>004322</t>
  </si>
  <si>
    <t>Dům dětí a mládeže Vila Tereza, Uničov</t>
  </si>
  <si>
    <t>0030001001352</t>
  </si>
  <si>
    <t>003421</t>
  </si>
  <si>
    <t>Dům dětí a mládeže Litovel</t>
  </si>
  <si>
    <t>0030001001351</t>
  </si>
  <si>
    <t>Dům dětí a mládeže Olomouc</t>
  </si>
  <si>
    <t>0030001001350</t>
  </si>
  <si>
    <t>Základní umělecká škola, Uničov, Litovelská 190</t>
  </si>
  <si>
    <t>0030001001304</t>
  </si>
  <si>
    <t>003231</t>
  </si>
  <si>
    <t>Základní umělecká škola Litovel, Jungmannova 740</t>
  </si>
  <si>
    <t>0030001001303</t>
  </si>
  <si>
    <t>ZUŠ M. Stibora - výtvarný obor, OL, Pionýrská 4</t>
  </si>
  <si>
    <t>0030001001302</t>
  </si>
  <si>
    <t>ZUŠ "Žerotín" Olomouc, Kavaleristů 6</t>
  </si>
  <si>
    <t>0030001001301</t>
  </si>
  <si>
    <t>ZUŠ Iši Krejčího, Olomouc, Na Vozovce 32</t>
  </si>
  <si>
    <t>0030001001300</t>
  </si>
  <si>
    <t>SOŠ lesnická a strojírenská, Šternberk, Opavská 4</t>
  </si>
  <si>
    <t>0030001001208</t>
  </si>
  <si>
    <t>003147</t>
  </si>
  <si>
    <t>003123</t>
  </si>
  <si>
    <t>SŠ technická a obchodní, Olomouc, Kosinova 4</t>
  </si>
  <si>
    <t>0030001001207</t>
  </si>
  <si>
    <t>SOU obchodu a služeb, Olomouc, Štursova 14</t>
  </si>
  <si>
    <t>0030001001206</t>
  </si>
  <si>
    <t>003122</t>
  </si>
  <si>
    <t>SŠ polygrafická, Olomouc, Střední Novosadská 55</t>
  </si>
  <si>
    <t>0030001001205</t>
  </si>
  <si>
    <t>SŠ polytechnická, Olomouc, Rooseveltova 79</t>
  </si>
  <si>
    <t>0030001001204</t>
  </si>
  <si>
    <t>SŠ logistiky a chemie, Olomouc, U Hradiska 29</t>
  </si>
  <si>
    <t>0030001001202</t>
  </si>
  <si>
    <t>Sigmundova střední škola strojírenská, Lutín</t>
  </si>
  <si>
    <t>0030001001201</t>
  </si>
  <si>
    <t>Střední odborná škola Litovel, Komenského 677</t>
  </si>
  <si>
    <t>0030001001200</t>
  </si>
  <si>
    <t>SZŠ a VOŠ E.Pöttinga a Jaz.š.s pr.st.jaz.zk.,Ol</t>
  </si>
  <si>
    <t>0030001001160</t>
  </si>
  <si>
    <t>003239</t>
  </si>
  <si>
    <t>003150</t>
  </si>
  <si>
    <t>Obchodní akademie, Olomouc, tř. Spojenců 11</t>
  </si>
  <si>
    <t>0030001001150</t>
  </si>
  <si>
    <t>SŠ zemědělská a zahradnická  Olomouc, U Hradiska 4</t>
  </si>
  <si>
    <t>0030001001123</t>
  </si>
  <si>
    <t>003124</t>
  </si>
  <si>
    <t>SPŠ a SOU Uničov</t>
  </si>
  <si>
    <t>0030001001122</t>
  </si>
  <si>
    <t>SPŠ strojnická, Olomouc, tř. 17. listopadu 49</t>
  </si>
  <si>
    <t>0030001001121</t>
  </si>
  <si>
    <t>VOŠ a SPŠ elektrotechnická, Olomouc, Božetěchova 3</t>
  </si>
  <si>
    <t>0030001001120</t>
  </si>
  <si>
    <t>Gymnázium, Uničov, Gymnazijní 257</t>
  </si>
  <si>
    <t>0030001001105</t>
  </si>
  <si>
    <t>003121</t>
  </si>
  <si>
    <t>Gymnázium, Šternberk, Horní náměstí 5</t>
  </si>
  <si>
    <t>0030001001104</t>
  </si>
  <si>
    <t>Gymnázium, Olomouc - Hejčín, Tomkova 45</t>
  </si>
  <si>
    <t>0030001001103</t>
  </si>
  <si>
    <t>Slovanské gymnázium Olomouc, tř. J. z Poděbrad 13</t>
  </si>
  <si>
    <t>0030001001102</t>
  </si>
  <si>
    <t>Gymnázium, Olomouc, Čajkovského 9</t>
  </si>
  <si>
    <t>0030001001101</t>
  </si>
  <si>
    <t>Gymnázium Jana Opletala, Litovel, Opletalova 189</t>
  </si>
  <si>
    <t>0030001001100</t>
  </si>
  <si>
    <t>ZŠ, DD a Školní jídelna Litovel</t>
  </si>
  <si>
    <t>0030001001034</t>
  </si>
  <si>
    <t>003141</t>
  </si>
  <si>
    <t>003114</t>
  </si>
  <si>
    <t>Základní škola Uničov, Šternberská 35</t>
  </si>
  <si>
    <t>0030001001033</t>
  </si>
  <si>
    <t>Základní škola Šternberk, Olomoucká 76</t>
  </si>
  <si>
    <t>0030001001032</t>
  </si>
  <si>
    <t>SŠ, Olomouc-Svatý Kopeček, B. Dvorského 17</t>
  </si>
  <si>
    <t>0030001001015</t>
  </si>
  <si>
    <t>003145</t>
  </si>
  <si>
    <t>ZŠ prof. Z. Matějčka Olomouc, Svatoplukova 11</t>
  </si>
  <si>
    <t>0030001001014</t>
  </si>
  <si>
    <t>003143</t>
  </si>
  <si>
    <t>ZŠ a MŠ prof. V. Vejdovského Tomkova 42,Olomouc</t>
  </si>
  <si>
    <t>0030001001013</t>
  </si>
  <si>
    <t>003112</t>
  </si>
  <si>
    <t>ZŠ a MŠ logopedická Olomouc</t>
  </si>
  <si>
    <t>0030001001012</t>
  </si>
  <si>
    <t>ZŠ a MŠ při FN Olomouc</t>
  </si>
  <si>
    <t>0030001001010</t>
  </si>
  <si>
    <t>Mateřská škola Olomouc, Blanická 16</t>
  </si>
  <si>
    <t>0030001001001</t>
  </si>
  <si>
    <t>Příspěvky PO - školství</t>
  </si>
  <si>
    <t>003299</t>
  </si>
  <si>
    <t>0030001000000</t>
  </si>
  <si>
    <t>UPRAVENÝ ROZPOČET k 9. měsíci 2014</t>
  </si>
  <si>
    <t>Okres: Olomouc</t>
  </si>
  <si>
    <t>Mgr. Miroslav Gajdůšek, MBA</t>
  </si>
  <si>
    <t>ORJ - 10 - Olomouc</t>
  </si>
  <si>
    <t>OKRES Přerov</t>
  </si>
  <si>
    <t>DD a ŠJ, Přerov, Sušilova 25</t>
  </si>
  <si>
    <t>Přerov</t>
  </si>
  <si>
    <t>DD a ŠJ, Lipník nad Bečvou, Tyršova 772</t>
  </si>
  <si>
    <t>DD a ŠJ, Hranice, Purgešova 4</t>
  </si>
  <si>
    <t>Středisko volného času ATLAS a BIOS, Přerov</t>
  </si>
  <si>
    <t>ZUŠ A. Dvořáka, Lipník nad Bečvou, Havlíčkova 643</t>
  </si>
  <si>
    <t>ZUŠ B. Kozánka, Přerov</t>
  </si>
  <si>
    <t>ZUŠ, Kojetín, Hanusíkova 197</t>
  </si>
  <si>
    <t>ZUŠ, Hranice, Školní náměstí 35</t>
  </si>
  <si>
    <t>ZUŠ, Potštát 36</t>
  </si>
  <si>
    <t>Odborné učiliště, Křenovice 8</t>
  </si>
  <si>
    <t>Střední škola řezbářská, Tovačov, Nádražní 146</t>
  </si>
  <si>
    <t>Střední škola technická, Přerov, Kouřilkova 8</t>
  </si>
  <si>
    <t>SŠ elektrotechnická, Lipník nad Bečvou,Tyršova 781</t>
  </si>
  <si>
    <t>Střední zdravotnická škola Hranice,Studentská 1095</t>
  </si>
  <si>
    <t>OA a JŠ s právem st. jaz. zk.,Přerov, Bartošova 24</t>
  </si>
  <si>
    <t>Střední škola zemědělská, Přerov, Osmek 47</t>
  </si>
  <si>
    <t>Gymnázium Jana Blahoslava a SŠ pedag., Přerov</t>
  </si>
  <si>
    <t>Střední lesnická škola, Hranice, Jurikova 588</t>
  </si>
  <si>
    <t>SŠ gastronomie a služeb, Přerov, Šířava 7</t>
  </si>
  <si>
    <t>Střední průmyslová škola, Přerov, Havlíčkova 2</t>
  </si>
  <si>
    <t>SPŠ stavební, Lipník n/B., Komenského sady 257</t>
  </si>
  <si>
    <t>Střední průmyslová škola Hranice</t>
  </si>
  <si>
    <t>Gymnázium, Kojetín, Svatopluka Čecha 683</t>
  </si>
  <si>
    <t>Gymnázium, Hranice, Zborovská 293</t>
  </si>
  <si>
    <t>Gymnázium Jakuba Škody, Přerov, Komenského 29</t>
  </si>
  <si>
    <t>SŠ a ZŠ Lipník nad Bečvou, Osecká 301</t>
  </si>
  <si>
    <t>ZŠ a MŠ Přerov, Malá Dlážka 4</t>
  </si>
  <si>
    <t>ZŠ a MŠ, Hranice, Nová 1820</t>
  </si>
  <si>
    <t>Základní škola Kojetín, Sladovní 492</t>
  </si>
  <si>
    <t>Okres: Přerov</t>
  </si>
  <si>
    <t>ORJ - 10 - Přerov</t>
  </si>
  <si>
    <t>OKRES Jeseník</t>
  </si>
  <si>
    <t>DD a Školní jídelna Jeseník, Priessnitzova 405</t>
  </si>
  <si>
    <t>Jeseník</t>
  </si>
  <si>
    <t>Dětský domov a Školní jídelna, Černá Voda 1</t>
  </si>
  <si>
    <t>Základní umělecká škola Franze Schuberta Zlaté Hor</t>
  </si>
  <si>
    <t>Základní umělecká škola Karla Ditterse Vidnava</t>
  </si>
  <si>
    <t>SOŠ a SOU zemědělské, Horní Heřmanice 47</t>
  </si>
  <si>
    <t xml:space="preserve">Střední škola gastronomie a farmářství Jeseník </t>
  </si>
  <si>
    <t>Odborné učiliště a Prak. škola, Lipová - lázně 458</t>
  </si>
  <si>
    <t>Hotelová šk. V. Priessnitze, Jeseník, Dukelská 680</t>
  </si>
  <si>
    <t>SOŠ a SOU stroj. a staveb., Jeseník, Dukelská 1240</t>
  </si>
  <si>
    <t>Gymnázium, Jeseník, Komenského 281</t>
  </si>
  <si>
    <t>Základní škola Jeseník, Fučíkova 312</t>
  </si>
  <si>
    <t>ZŠ a MŠ při Sanatoriu Edel Zlaté Hory</t>
  </si>
  <si>
    <t>ZŠ a MŠ při Priessnitz. léčebných lázních, Jeseník</t>
  </si>
  <si>
    <t>Okres: Jeseník</t>
  </si>
  <si>
    <t>ORJ - 10 - Jeseník</t>
  </si>
  <si>
    <t>OKRES Prostějov</t>
  </si>
  <si>
    <t>SCHOLA SERVIS - zařízení pro DVPP, Prostějov, p.o.</t>
  </si>
  <si>
    <t>Prostějov</t>
  </si>
  <si>
    <t>0030001001465</t>
  </si>
  <si>
    <t>003149</t>
  </si>
  <si>
    <t>DD a ŠJ, Plumlov, Balkán 333</t>
  </si>
  <si>
    <t>0030001001402</t>
  </si>
  <si>
    <t>DD a ŠJ, Konice, Vrchlického 369</t>
  </si>
  <si>
    <t>0030001001401</t>
  </si>
  <si>
    <t>ZUŠ Konice, Na Příhonech 425</t>
  </si>
  <si>
    <t>0030001001305</t>
  </si>
  <si>
    <t>SOU obchodní Prostějov, nám. E. Husserla 1</t>
  </si>
  <si>
    <t>0030001001212</t>
  </si>
  <si>
    <t>Střední zdravotnická škola, Prostějov, Vápenice 3</t>
  </si>
  <si>
    <t>0030001001161</t>
  </si>
  <si>
    <t>Obchodní akademie, Prostějov, Palackého 18</t>
  </si>
  <si>
    <t>0030001001151</t>
  </si>
  <si>
    <t>Švehlova střední škola polytechnická,Prostějov</t>
  </si>
  <si>
    <t>0030001001127</t>
  </si>
  <si>
    <t>SOŠ prům. a SOU strojírenské, Prostějov, Lidická 4</t>
  </si>
  <si>
    <t>0030001001126</t>
  </si>
  <si>
    <t>SŠ designu a módy, Prostějov, Vápenice 1</t>
  </si>
  <si>
    <t>0030001001125</t>
  </si>
  <si>
    <t>Gymnázium Jiřího Wolkera, Prostějov, Kollárova 3</t>
  </si>
  <si>
    <t>0030001001106</t>
  </si>
  <si>
    <t>Základní škola a Dětský domov Prostějov</t>
  </si>
  <si>
    <t>0030001001017</t>
  </si>
  <si>
    <t>SŠ, ZŠ, MŠ Prostějov, Komenského 10</t>
  </si>
  <si>
    <t>0030001001016</t>
  </si>
  <si>
    <t>Okres: Prostějov</t>
  </si>
  <si>
    <t>ORJ - 10 - Prostějov</t>
  </si>
  <si>
    <t>OKRES Šumperk</t>
  </si>
  <si>
    <t>Dům dětí a mládeže Magnet, Mohelnice</t>
  </si>
  <si>
    <t>Šumperk</t>
  </si>
  <si>
    <t>0030001001354</t>
  </si>
  <si>
    <t>ZUŠ, Zábřeh, Farní 9</t>
  </si>
  <si>
    <t>0030001001313</t>
  </si>
  <si>
    <t>ZUŠ, Šumperk, Žerotínova 11</t>
  </si>
  <si>
    <t>0030001001312</t>
  </si>
  <si>
    <t>ZUŠ, Mohelnice, Náměstí Svobody 15</t>
  </si>
  <si>
    <t>0030001001311</t>
  </si>
  <si>
    <t>SŠ sociál. péče a služeb, Zábřeh, nám. 8. května 2</t>
  </si>
  <si>
    <t>0030001001223</t>
  </si>
  <si>
    <t>OU a Praktická škola, Mohelnice, Vodní 27</t>
  </si>
  <si>
    <t>0030001001222</t>
  </si>
  <si>
    <t>SŠ železniční a stavební, Šumperk, Bulharská 8</t>
  </si>
  <si>
    <t>0030001001221</t>
  </si>
  <si>
    <t>Střední škola technická a zemědělská, Mohelnice</t>
  </si>
  <si>
    <t>0030001001174</t>
  </si>
  <si>
    <t>Střední zdravotnická škola, Šumperk, Kladská 2</t>
  </si>
  <si>
    <t>0030001001163</t>
  </si>
  <si>
    <t>OA a Jazyk. škola s právem st. jaz. zk., Šumperk</t>
  </si>
  <si>
    <t>0030001001154</t>
  </si>
  <si>
    <t>Obchodní akademie, Mohelnice, Olomoucká 82</t>
  </si>
  <si>
    <t>0030001001153</t>
  </si>
  <si>
    <t>Střední škola železniční, technická a služeb, Šumperk, Gen. Krátkého 30</t>
  </si>
  <si>
    <t>0030001001140</t>
  </si>
  <si>
    <t>Střední odborná škola, Šumperk, Zemědělská 3</t>
  </si>
  <si>
    <t>0030001001138</t>
  </si>
  <si>
    <t>SPŠ elektrotechnická, Mohelnice, Gen. Svobody 2</t>
  </si>
  <si>
    <t>0030001001137</t>
  </si>
  <si>
    <t>VOŠ a SŠ automobilní, Zábřeh, U Dráhy 6</t>
  </si>
  <si>
    <t>0030001001136</t>
  </si>
  <si>
    <t>VOŠ a SPŠ, Šumperk, Gen. Krátkého 1</t>
  </si>
  <si>
    <t>0030001001135</t>
  </si>
  <si>
    <t>Gymnázium, Zábřeh, nám. Osvobození 20</t>
  </si>
  <si>
    <t>0030001001112</t>
  </si>
  <si>
    <t>Gymnázium, Šumperk, Masarykovo nám. 8</t>
  </si>
  <si>
    <t>0030001001111</t>
  </si>
  <si>
    <t>SŠ, ZŠ, MŠ a Dětský domov Zábřeh</t>
  </si>
  <si>
    <t>0030001001041</t>
  </si>
  <si>
    <t>SŠ, ZŠ a MŠ Šumperk, Hanácká 3</t>
  </si>
  <si>
    <t>0030001001040</t>
  </si>
  <si>
    <t>ZŠ a MŠ Mohelnice, Masarykova 4</t>
  </si>
  <si>
    <t>0030001001024</t>
  </si>
  <si>
    <t>ZŠ a MŠ při lázních, Velké Losiny</t>
  </si>
  <si>
    <t>0030001001022</t>
  </si>
  <si>
    <t>ZŠ a MŠ při lázních, Bludov</t>
  </si>
  <si>
    <t>0030001001021</t>
  </si>
  <si>
    <t>Okres: Šumperk</t>
  </si>
  <si>
    <t>ORJ - 10 - Šumperk</t>
  </si>
  <si>
    <t>původní</t>
  </si>
  <si>
    <t>EPC SŠ MŠ ZŠ a DD Zábřeh</t>
  </si>
  <si>
    <t>EPC Logistika, U hradiska</t>
  </si>
  <si>
    <t>EPC ZUŠ Přerov</t>
  </si>
  <si>
    <t>EPC SPŠ elektr. Mohelnice</t>
  </si>
  <si>
    <t>kultura UZ 201</t>
  </si>
  <si>
    <t>EPC Nové Zámky</t>
  </si>
  <si>
    <t>soc. oblast</t>
  </si>
  <si>
    <t>SPS Jeseník (oprava)</t>
  </si>
  <si>
    <t>vrátit SUS</t>
  </si>
  <si>
    <t>šéf 14.11.,2014</t>
  </si>
  <si>
    <t>KS - Návrh 14.11.2014</t>
  </si>
  <si>
    <t>elektřina</t>
  </si>
  <si>
    <t>rozdíl</t>
  </si>
  <si>
    <t>snížit dopr. Obslužnost (oprava součtu) -7 330 660</t>
  </si>
  <si>
    <t>Rozdíl UZ 00 6  -  -20 tis. Kč  (školství - zaokr.)</t>
  </si>
  <si>
    <t>/UZ 00 039/</t>
  </si>
  <si>
    <t xml:space="preserve">          - ostatní příspěvky (UZ 39)</t>
  </si>
  <si>
    <t>Vlastivědné muzeum Olomouc (stáhnuto z rozpočtu 2014 RO-výsrava prací Salvatora Dalího)</t>
  </si>
  <si>
    <t>přepracované zdravotnictví</t>
  </si>
  <si>
    <t>Paseka nájemné 2 x (v provozu a v nájemném)</t>
  </si>
  <si>
    <t>KIDSOK - v provozu sníženo (konzult. s Petrou), navýšeno o 119 mzdy (3,5%)</t>
  </si>
  <si>
    <t xml:space="preserve"> dopravní obslužnost</t>
  </si>
  <si>
    <t>CELKEM - provozní příspěvky PO</t>
  </si>
  <si>
    <t xml:space="preserve">    - příspěvek na provoz,rezerva /UZ 00 020/</t>
  </si>
  <si>
    <t>Dětské centrum Ostrůvek, p.o.</t>
  </si>
  <si>
    <r>
      <t>Odborný léčebný ústav Paseka, p.o.</t>
    </r>
    <r>
      <rPr>
        <vertAlign val="superscript"/>
        <sz val="10"/>
        <rFont val="Arial"/>
        <family val="2"/>
        <charset val="238"/>
      </rPr>
      <t>)1</t>
    </r>
  </si>
  <si>
    <r>
      <t>Odborný léčebný ústav neurologicko-geriatrický Moravský Beroun,p.o.</t>
    </r>
    <r>
      <rPr>
        <vertAlign val="superscript"/>
        <sz val="10"/>
        <rFont val="Arial"/>
        <family val="2"/>
        <charset val="238"/>
      </rPr>
      <t>)2</t>
    </r>
  </si>
  <si>
    <r>
      <rPr>
        <vertAlign val="superscript"/>
        <sz val="10"/>
        <rFont val="Arial"/>
        <family val="2"/>
        <charset val="238"/>
      </rPr>
      <t>)1</t>
    </r>
    <r>
      <rPr>
        <sz val="10"/>
        <rFont val="Arial"/>
        <family val="2"/>
        <charset val="238"/>
      </rPr>
      <t xml:space="preserve"> Usnesením Zastupitelstva Olomouckého kraje UZ/12/42/2014 ze dne 19.9.2014 dojde k 1.1.2015 k sloučení příspěvkových organizací a to Odborného léčebného ústavu Paseky, p.o a Odborného léčebného ústavu neurologicko-geriatrický Moravský Beroun, p.o. Nástupnickou organizací je Odborný léčebný ústav Paseka, p.o.</t>
    </r>
  </si>
  <si>
    <t>Návrh rozpočtu 
2015
(položka 5331)</t>
  </si>
  <si>
    <t>NÁVRH ROZPOČTU 2015</t>
  </si>
  <si>
    <t xml:space="preserve">NÁVRH ROZPOČTU 2015 </t>
  </si>
  <si>
    <t>Správce: Mgr. Miroslav Gajdůšek, MBA</t>
  </si>
  <si>
    <t>Návrh 2015                    v %</t>
  </si>
  <si>
    <t>sl.4=sl.3-sl.1</t>
  </si>
  <si>
    <t>sl.5=sl.3/sl.1</t>
  </si>
  <si>
    <t>Návrh rozpočtu 2015                     (pol.5331)</t>
  </si>
  <si>
    <t>Návrh 2015                      v %</t>
  </si>
  <si>
    <t>Návrh 2015                    v Kč</t>
  </si>
  <si>
    <t>Správce:PhDr. Jindřich Garčic</t>
  </si>
  <si>
    <t xml:space="preserve">Správce:Ing. Bohuslav Kolář, MBA </t>
  </si>
  <si>
    <t xml:space="preserve">                vedoucího odboru </t>
  </si>
  <si>
    <r>
      <rPr>
        <vertAlign val="superscript"/>
        <sz val="7"/>
        <rFont val="Arial"/>
        <family val="2"/>
        <charset val="238"/>
      </rPr>
      <t>)2</t>
    </r>
    <r>
      <rPr>
        <sz val="7"/>
        <rFont val="Arial"/>
        <family val="2"/>
        <charset val="238"/>
      </rPr>
      <t xml:space="preserve"> Usnesením Zastupitelstva Olomouckého kraje UZ/12/42/2014 ze dne 19.9.2014 dojde k 1.1.2015 k sloučení příspěvkových organizací a to Dětského centra Ostrůvek p.o. a Dětské centrum Pavučinka Šumperk, p.o.. Nástupnickou organizací je Dětské centrum Ostrůvek, p.o.</t>
    </r>
  </si>
  <si>
    <t>Návrh rozpočtu 2015                    (pol.5331)</t>
  </si>
  <si>
    <t>Návrh 2015                      v Kč</t>
  </si>
  <si>
    <t>Návrh 2015                        v %</t>
  </si>
  <si>
    <t>Návrh 2015                         v Kč</t>
  </si>
  <si>
    <t>Návrh 2015                           v %</t>
  </si>
  <si>
    <t>Návrh 2015                          v Kč</t>
  </si>
  <si>
    <t>Návrh 2015                             v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</si>
</sst>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7"/>
      <name val="Arial"/>
      <family val="2"/>
      <charset val="238"/>
    </font>
    <font>
      <b/>
      <sz val="17"/>
      <color indexed="9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6"/>
      <name val="Arial"/>
      <family val="2"/>
      <charset val="238"/>
    </font>
    <font>
      <b/>
      <sz val="6"/>
      <name val="Arial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1"/>
      <color indexed="19"/>
      <name val="Arial CE"/>
      <charset val="238"/>
    </font>
    <font>
      <b/>
      <i/>
      <sz val="11"/>
      <color indexed="19"/>
      <name val="Arial CE"/>
      <family val="2"/>
      <charset val="238"/>
    </font>
    <font>
      <i/>
      <sz val="10"/>
      <color indexed="19"/>
      <name val="Arial"/>
      <family val="2"/>
      <charset val="238"/>
    </font>
    <font>
      <b/>
      <sz val="18"/>
      <name val="Arial"/>
      <family val="2"/>
      <charset val="238"/>
    </font>
    <font>
      <b/>
      <sz val="11"/>
      <color rgb="FF008080"/>
      <name val="Arial"/>
      <family val="2"/>
      <charset val="238"/>
    </font>
    <font>
      <sz val="11"/>
      <color rgb="FF008080"/>
      <name val="Arial"/>
      <family val="2"/>
      <charset val="238"/>
    </font>
    <font>
      <b/>
      <sz val="10"/>
      <color rgb="FF00808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7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Forte"/>
      <family val="4"/>
    </font>
    <font>
      <sz val="5"/>
      <name val="Arial"/>
      <family val="2"/>
      <charset val="238"/>
    </font>
    <font>
      <b/>
      <sz val="10"/>
      <color theme="4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8"/>
      <color theme="3"/>
      <name val="Arial"/>
      <family val="2"/>
      <charset val="238"/>
    </font>
    <font>
      <b/>
      <sz val="12"/>
      <name val="Arial CE"/>
      <charset val="238"/>
    </font>
    <font>
      <i/>
      <sz val="12"/>
      <color indexed="1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2"/>
      <color rgb="FF00808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26">
    <xf numFmtId="0" fontId="0" fillId="0" borderId="0" xfId="0"/>
    <xf numFmtId="3" fontId="0" fillId="0" borderId="0" xfId="0" applyNumberFormat="1" applyAlignment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49" fontId="5" fillId="0" borderId="14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3" fontId="11" fillId="0" borderId="15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left" vertical="center" wrapText="1"/>
    </xf>
    <xf numFmtId="0" fontId="1" fillId="0" borderId="0" xfId="1"/>
    <xf numFmtId="3" fontId="1" fillId="0" borderId="22" xfId="1" applyNumberFormat="1" applyBorder="1"/>
    <xf numFmtId="3" fontId="1" fillId="0" borderId="5" xfId="1" applyNumberFormat="1" applyBorder="1"/>
    <xf numFmtId="3" fontId="23" fillId="0" borderId="5" xfId="1" applyNumberFormat="1" applyFont="1" applyBorder="1"/>
    <xf numFmtId="3" fontId="10" fillId="0" borderId="13" xfId="1" applyNumberFormat="1" applyFont="1" applyBorder="1" applyAlignment="1">
      <alignment horizontal="center"/>
    </xf>
    <xf numFmtId="3" fontId="10" fillId="0" borderId="12" xfId="1" applyNumberFormat="1" applyFont="1" applyBorder="1" applyAlignment="1">
      <alignment horizontal="center"/>
    </xf>
    <xf numFmtId="3" fontId="10" fillId="0" borderId="10" xfId="1" applyNumberFormat="1" applyFont="1" applyBorder="1" applyAlignment="1">
      <alignment horizontal="center"/>
    </xf>
    <xf numFmtId="0" fontId="1" fillId="0" borderId="0" xfId="1" applyAlignment="1">
      <alignment horizontal="right"/>
    </xf>
    <xf numFmtId="49" fontId="8" fillId="0" borderId="0" xfId="1" applyNumberFormat="1" applyFont="1" applyAlignment="1">
      <alignment horizontal="right"/>
    </xf>
    <xf numFmtId="0" fontId="8" fillId="0" borderId="0" xfId="1" applyFont="1" applyAlignment="1">
      <alignment horizontal="right"/>
    </xf>
    <xf numFmtId="0" fontId="13" fillId="0" borderId="0" xfId="1" applyFont="1"/>
    <xf numFmtId="49" fontId="13" fillId="0" borderId="0" xfId="1" applyNumberFormat="1" applyFont="1" applyAlignment="1">
      <alignment horizontal="left"/>
    </xf>
    <xf numFmtId="0" fontId="9" fillId="0" borderId="0" xfId="1" applyFont="1"/>
    <xf numFmtId="0" fontId="2" fillId="0" borderId="0" xfId="1" applyFont="1"/>
    <xf numFmtId="3" fontId="12" fillId="0" borderId="5" xfId="1" applyNumberFormat="1" applyFont="1" applyBorder="1"/>
    <xf numFmtId="3" fontId="12" fillId="0" borderId="22" xfId="1" applyNumberFormat="1" applyFont="1" applyBorder="1"/>
    <xf numFmtId="3" fontId="1" fillId="0" borderId="0" xfId="1" applyNumberFormat="1" applyAlignment="1"/>
    <xf numFmtId="3" fontId="11" fillId="0" borderId="16" xfId="1" applyNumberFormat="1" applyFont="1" applyBorder="1" applyAlignment="1">
      <alignment horizontal="right" vertical="center"/>
    </xf>
    <xf numFmtId="3" fontId="11" fillId="0" borderId="14" xfId="1" applyNumberFormat="1" applyFont="1" applyBorder="1" applyAlignment="1">
      <alignment horizontal="right" vertical="center"/>
    </xf>
    <xf numFmtId="3" fontId="11" fillId="0" borderId="15" xfId="1" applyNumberFormat="1" applyFont="1" applyBorder="1" applyAlignment="1">
      <alignment horizontal="right" vertical="center"/>
    </xf>
    <xf numFmtId="49" fontId="1" fillId="0" borderId="15" xfId="1" applyNumberFormat="1" applyFont="1" applyBorder="1" applyAlignment="1">
      <alignment horizontal="left" vertical="center" wrapText="1"/>
    </xf>
    <xf numFmtId="0" fontId="1" fillId="0" borderId="15" xfId="1" applyFont="1" applyBorder="1" applyAlignment="1">
      <alignment horizontal="left" vertical="center"/>
    </xf>
    <xf numFmtId="49" fontId="1" fillId="0" borderId="14" xfId="1" applyNumberFormat="1" applyFont="1" applyBorder="1" applyAlignment="1">
      <alignment horizontal="right" vertical="center"/>
    </xf>
    <xf numFmtId="49" fontId="1" fillId="0" borderId="15" xfId="1" applyNumberFormat="1" applyFont="1" applyBorder="1" applyAlignment="1">
      <alignment horizontal="right" vertical="center"/>
    </xf>
    <xf numFmtId="3" fontId="2" fillId="0" borderId="15" xfId="1" applyNumberFormat="1" applyFont="1" applyBorder="1" applyAlignment="1">
      <alignment horizontal="center"/>
    </xf>
    <xf numFmtId="3" fontId="9" fillId="0" borderId="8" xfId="1" applyNumberFormat="1" applyFont="1" applyBorder="1" applyAlignment="1">
      <alignment horizontal="center" vertical="top" wrapText="1"/>
    </xf>
    <xf numFmtId="3" fontId="9" fillId="0" borderId="7" xfId="1" applyNumberFormat="1" applyFont="1" applyBorder="1" applyAlignment="1">
      <alignment horizontal="center" vertical="top" wrapText="1"/>
    </xf>
    <xf numFmtId="3" fontId="2" fillId="0" borderId="3" xfId="1" applyNumberFormat="1" applyFont="1" applyBorder="1" applyAlignment="1">
      <alignment horizontal="center" vertical="top" wrapText="1"/>
    </xf>
    <xf numFmtId="3" fontId="2" fillId="0" borderId="6" xfId="1" applyNumberFormat="1" applyFont="1" applyBorder="1" applyAlignment="1">
      <alignment horizontal="center" vertical="center" wrapText="1"/>
    </xf>
    <xf numFmtId="3" fontId="2" fillId="0" borderId="0" xfId="1" applyNumberFormat="1" applyFont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3" fontId="2" fillId="0" borderId="3" xfId="1" applyNumberFormat="1" applyFont="1" applyBorder="1" applyAlignment="1">
      <alignment horizontal="center" vertical="center" wrapText="1"/>
    </xf>
    <xf numFmtId="3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3" fontId="8" fillId="0" borderId="0" xfId="1" applyNumberFormat="1" applyFont="1" applyAlignment="1">
      <alignment horizontal="left"/>
    </xf>
    <xf numFmtId="0" fontId="8" fillId="0" borderId="0" xfId="1" applyFont="1" applyAlignment="1">
      <alignment horizontal="left"/>
    </xf>
    <xf numFmtId="3" fontId="7" fillId="0" borderId="0" xfId="1" applyNumberFormat="1" applyFont="1" applyAlignment="1">
      <alignment horizontal="right"/>
    </xf>
    <xf numFmtId="3" fontId="7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49" fontId="6" fillId="0" borderId="0" xfId="1" applyNumberFormat="1" applyFont="1" applyAlignment="1">
      <alignment horizontal="left"/>
    </xf>
    <xf numFmtId="3" fontId="3" fillId="0" borderId="0" xfId="1" applyNumberFormat="1" applyFont="1" applyAlignment="1">
      <alignment horizontal="right"/>
    </xf>
    <xf numFmtId="3" fontId="4" fillId="0" borderId="0" xfId="1" applyNumberFormat="1" applyFont="1" applyAlignment="1">
      <alignment horizontal="right"/>
    </xf>
    <xf numFmtId="3" fontId="3" fillId="0" borderId="0" xfId="1" applyNumberFormat="1" applyFont="1" applyAlignment="1">
      <alignment horizontal="left"/>
    </xf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3" fontId="11" fillId="0" borderId="21" xfId="1" applyNumberFormat="1" applyFont="1" applyBorder="1" applyAlignment="1">
      <alignment horizontal="right" vertical="center"/>
    </xf>
    <xf numFmtId="3" fontId="1" fillId="0" borderId="0" xfId="1" applyNumberFormat="1"/>
    <xf numFmtId="3" fontId="2" fillId="0" borderId="0" xfId="1" applyNumberFormat="1" applyFont="1" applyBorder="1" applyAlignment="1">
      <alignment horizontal="center" vertical="center" wrapText="1"/>
    </xf>
    <xf numFmtId="0" fontId="11" fillId="0" borderId="0" xfId="1" applyFont="1"/>
    <xf numFmtId="0" fontId="12" fillId="0" borderId="0" xfId="1" applyFont="1"/>
    <xf numFmtId="3" fontId="7" fillId="0" borderId="14" xfId="1" applyNumberFormat="1" applyFont="1" applyBorder="1"/>
    <xf numFmtId="3" fontId="7" fillId="0" borderId="16" xfId="1" applyNumberFormat="1" applyFont="1" applyBorder="1"/>
    <xf numFmtId="0" fontId="7" fillId="0" borderId="0" xfId="1" applyFont="1"/>
    <xf numFmtId="49" fontId="7" fillId="0" borderId="0" xfId="1" applyNumberFormat="1" applyFont="1" applyAlignment="1">
      <alignment horizontal="left"/>
    </xf>
    <xf numFmtId="3" fontId="2" fillId="0" borderId="22" xfId="1" applyNumberFormat="1" applyFont="1" applyBorder="1" applyAlignment="1">
      <alignment horizontal="center"/>
    </xf>
    <xf numFmtId="0" fontId="7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1" fillId="0" borderId="0" xfId="0" applyFont="1"/>
    <xf numFmtId="0" fontId="7" fillId="0" borderId="0" xfId="0" applyFont="1" applyFill="1"/>
    <xf numFmtId="0" fontId="12" fillId="0" borderId="0" xfId="0" applyFont="1" applyFill="1"/>
    <xf numFmtId="3" fontId="18" fillId="0" borderId="0" xfId="0" applyNumberFormat="1" applyFont="1" applyFill="1" applyBorder="1"/>
    <xf numFmtId="3" fontId="19" fillId="0" borderId="0" xfId="0" applyNumberFormat="1" applyFont="1" applyFill="1" applyBorder="1"/>
    <xf numFmtId="0" fontId="20" fillId="0" borderId="0" xfId="0" applyFont="1" applyFill="1" applyProtection="1">
      <protection locked="0"/>
    </xf>
    <xf numFmtId="0" fontId="20" fillId="0" borderId="0" xfId="0" applyFont="1" applyFill="1"/>
    <xf numFmtId="0" fontId="7" fillId="0" borderId="0" xfId="0" applyFont="1"/>
    <xf numFmtId="3" fontId="1" fillId="0" borderId="0" xfId="1" applyNumberFormat="1" applyAlignment="1">
      <alignment horizontal="left"/>
    </xf>
    <xf numFmtId="3" fontId="12" fillId="0" borderId="0" xfId="1" applyNumberFormat="1" applyFont="1" applyBorder="1" applyAlignment="1">
      <alignment horizontal="left" vertical="center"/>
    </xf>
    <xf numFmtId="0" fontId="1" fillId="0" borderId="0" xfId="1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9" fontId="6" fillId="0" borderId="0" xfId="1" applyNumberFormat="1" applyFont="1"/>
    <xf numFmtId="49" fontId="21" fillId="0" borderId="0" xfId="1" applyNumberFormat="1" applyFont="1" applyAlignment="1">
      <alignment horizontal="left"/>
    </xf>
    <xf numFmtId="0" fontId="6" fillId="0" borderId="0" xfId="1" applyFont="1"/>
    <xf numFmtId="0" fontId="1" fillId="0" borderId="35" xfId="1" applyBorder="1"/>
    <xf numFmtId="3" fontId="11" fillId="0" borderId="39" xfId="1" applyNumberFormat="1" applyFont="1" applyBorder="1"/>
    <xf numFmtId="0" fontId="2" fillId="0" borderId="0" xfId="0" applyFont="1"/>
    <xf numFmtId="0" fontId="9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right" indent="2"/>
    </xf>
    <xf numFmtId="0" fontId="0" fillId="0" borderId="42" xfId="0" applyBorder="1"/>
    <xf numFmtId="0" fontId="0" fillId="0" borderId="43" xfId="0" applyBorder="1"/>
    <xf numFmtId="4" fontId="0" fillId="0" borderId="0" xfId="0" applyNumberFormat="1"/>
    <xf numFmtId="3" fontId="27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ill="1" applyProtection="1">
      <protection locked="0"/>
    </xf>
    <xf numFmtId="3" fontId="12" fillId="0" borderId="48" xfId="1" applyNumberFormat="1" applyFont="1" applyBorder="1"/>
    <xf numFmtId="3" fontId="22" fillId="0" borderId="35" xfId="1" applyNumberFormat="1" applyFont="1" applyBorder="1"/>
    <xf numFmtId="3" fontId="11" fillId="0" borderId="35" xfId="1" applyNumberFormat="1" applyFont="1" applyBorder="1"/>
    <xf numFmtId="4" fontId="1" fillId="0" borderId="0" xfId="1" applyNumberFormat="1" applyAlignment="1"/>
    <xf numFmtId="0" fontId="1" fillId="0" borderId="0" xfId="0" applyFont="1"/>
    <xf numFmtId="10" fontId="0" fillId="0" borderId="0" xfId="0" applyNumberFormat="1"/>
    <xf numFmtId="10" fontId="12" fillId="0" borderId="0" xfId="0" applyNumberFormat="1" applyFont="1"/>
    <xf numFmtId="3" fontId="12" fillId="0" borderId="0" xfId="0" applyNumberFormat="1" applyFont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top"/>
    </xf>
    <xf numFmtId="0" fontId="1" fillId="2" borderId="0" xfId="0" applyFont="1" applyFill="1"/>
    <xf numFmtId="0" fontId="0" fillId="2" borderId="0" xfId="0" applyFill="1"/>
    <xf numFmtId="3" fontId="7" fillId="2" borderId="0" xfId="0" applyNumberFormat="1" applyFont="1" applyFill="1"/>
    <xf numFmtId="0" fontId="1" fillId="0" borderId="0" xfId="0" applyFont="1" applyAlignment="1">
      <alignment horizontal="center"/>
    </xf>
    <xf numFmtId="0" fontId="9" fillId="2" borderId="0" xfId="0" applyFont="1" applyFill="1"/>
    <xf numFmtId="0" fontId="0" fillId="0" borderId="32" xfId="0" applyBorder="1"/>
    <xf numFmtId="0" fontId="0" fillId="0" borderId="50" xfId="0" applyBorder="1"/>
    <xf numFmtId="0" fontId="0" fillId="0" borderId="35" xfId="0" applyBorder="1"/>
    <xf numFmtId="0" fontId="0" fillId="0" borderId="0" xfId="0" applyBorder="1"/>
    <xf numFmtId="0" fontId="10" fillId="0" borderId="3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0" fillId="0" borderId="50" xfId="0" applyNumberFormat="1" applyBorder="1"/>
    <xf numFmtId="10" fontId="0" fillId="0" borderId="50" xfId="0" applyNumberFormat="1" applyBorder="1"/>
    <xf numFmtId="3" fontId="0" fillId="0" borderId="42" xfId="0" applyNumberFormat="1" applyBorder="1"/>
    <xf numFmtId="0" fontId="9" fillId="0" borderId="35" xfId="0" applyFont="1" applyBorder="1"/>
    <xf numFmtId="3" fontId="0" fillId="0" borderId="0" xfId="0" applyNumberFormat="1" applyBorder="1"/>
    <xf numFmtId="10" fontId="0" fillId="0" borderId="0" xfId="0" applyNumberFormat="1" applyBorder="1"/>
    <xf numFmtId="3" fontId="0" fillId="0" borderId="43" xfId="0" applyNumberFormat="1" applyBorder="1"/>
    <xf numFmtId="0" fontId="0" fillId="0" borderId="40" xfId="0" applyBorder="1"/>
    <xf numFmtId="10" fontId="12" fillId="0" borderId="51" xfId="0" applyNumberFormat="1" applyFont="1" applyBorder="1"/>
    <xf numFmtId="3" fontId="12" fillId="0" borderId="52" xfId="0" applyNumberFormat="1" applyFont="1" applyBorder="1"/>
    <xf numFmtId="0" fontId="9" fillId="0" borderId="53" xfId="0" applyFont="1" applyBorder="1"/>
    <xf numFmtId="0" fontId="9" fillId="0" borderId="54" xfId="0" applyFont="1" applyBorder="1"/>
    <xf numFmtId="0" fontId="0" fillId="0" borderId="55" xfId="0" applyBorder="1"/>
    <xf numFmtId="3" fontId="12" fillId="0" borderId="51" xfId="0" applyNumberFormat="1" applyFont="1" applyBorder="1"/>
    <xf numFmtId="3" fontId="0" fillId="0" borderId="51" xfId="0" applyNumberFormat="1" applyBorder="1"/>
    <xf numFmtId="0" fontId="0" fillId="0" borderId="52" xfId="0" applyBorder="1"/>
    <xf numFmtId="3" fontId="0" fillId="0" borderId="35" xfId="0" applyNumberFormat="1" applyBorder="1"/>
    <xf numFmtId="3" fontId="9" fillId="0" borderId="43" xfId="0" applyNumberFormat="1" applyFont="1" applyBorder="1"/>
    <xf numFmtId="3" fontId="0" fillId="0" borderId="40" xfId="0" applyNumberFormat="1" applyBorder="1"/>
    <xf numFmtId="0" fontId="25" fillId="3" borderId="35" xfId="0" applyFont="1" applyFill="1" applyBorder="1"/>
    <xf numFmtId="3" fontId="29" fillId="3" borderId="40" xfId="0" applyNumberFormat="1" applyFont="1" applyFill="1" applyBorder="1"/>
    <xf numFmtId="3" fontId="29" fillId="3" borderId="51" xfId="0" applyNumberFormat="1" applyFont="1" applyFill="1" applyBorder="1"/>
    <xf numFmtId="3" fontId="29" fillId="3" borderId="52" xfId="0" applyNumberFormat="1" applyFont="1" applyFill="1" applyBorder="1"/>
    <xf numFmtId="3" fontId="29" fillId="0" borderId="35" xfId="0" applyNumberFormat="1" applyFont="1" applyFill="1" applyBorder="1"/>
    <xf numFmtId="3" fontId="29" fillId="0" borderId="0" xfId="0" applyNumberFormat="1" applyFont="1" applyFill="1" applyBorder="1"/>
    <xf numFmtId="3" fontId="29" fillId="0" borderId="43" xfId="0" applyNumberFormat="1" applyFont="1" applyFill="1" applyBorder="1"/>
    <xf numFmtId="0" fontId="1" fillId="0" borderId="35" xfId="0" applyFont="1" applyFill="1" applyBorder="1"/>
    <xf numFmtId="0" fontId="30" fillId="0" borderId="32" xfId="0" applyFont="1" applyBorder="1"/>
    <xf numFmtId="0" fontId="26" fillId="3" borderId="43" xfId="0" applyFont="1" applyFill="1" applyBorder="1"/>
    <xf numFmtId="0" fontId="13" fillId="2" borderId="0" xfId="0" applyFont="1" applyFill="1"/>
    <xf numFmtId="0" fontId="9" fillId="0" borderId="40" xfId="0" applyFont="1" applyBorder="1"/>
    <xf numFmtId="0" fontId="21" fillId="2" borderId="0" xfId="0" applyFont="1" applyFill="1"/>
    <xf numFmtId="0" fontId="0" fillId="0" borderId="43" xfId="0" applyBorder="1" applyAlignment="1">
      <alignment horizontal="center"/>
    </xf>
    <xf numFmtId="0" fontId="31" fillId="0" borderId="50" xfId="0" applyFont="1" applyBorder="1" applyAlignment="1">
      <alignment horizontal="center" wrapText="1"/>
    </xf>
    <xf numFmtId="0" fontId="10" fillId="0" borderId="32" xfId="0" applyFont="1" applyBorder="1" applyAlignment="1">
      <alignment horizontal="center" vertical="top"/>
    </xf>
    <xf numFmtId="0" fontId="10" fillId="0" borderId="50" xfId="0" applyFont="1" applyBorder="1" applyAlignment="1">
      <alignment horizontal="center" vertical="top"/>
    </xf>
    <xf numFmtId="0" fontId="28" fillId="0" borderId="50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31" fillId="0" borderId="50" xfId="0" applyFont="1" applyBorder="1" applyAlignment="1">
      <alignment horizontal="center" vertical="top" wrapText="1"/>
    </xf>
    <xf numFmtId="0" fontId="28" fillId="0" borderId="43" xfId="0" applyFont="1" applyBorder="1" applyAlignment="1">
      <alignment wrapText="1" shrinkToFit="1"/>
    </xf>
    <xf numFmtId="0" fontId="10" fillId="0" borderId="54" xfId="0" applyFont="1" applyBorder="1"/>
    <xf numFmtId="0" fontId="10" fillId="0" borderId="35" xfId="0" applyFont="1" applyBorder="1"/>
    <xf numFmtId="3" fontId="1" fillId="0" borderId="0" xfId="0" applyNumberFormat="1" applyFont="1" applyAlignment="1"/>
    <xf numFmtId="3" fontId="10" fillId="0" borderId="0" xfId="0" applyNumberFormat="1" applyFont="1" applyAlignment="1"/>
    <xf numFmtId="3" fontId="32" fillId="0" borderId="0" xfId="0" applyNumberFormat="1" applyFont="1" applyAlignment="1"/>
    <xf numFmtId="0" fontId="1" fillId="0" borderId="0" xfId="1" applyBorder="1"/>
    <xf numFmtId="0" fontId="11" fillId="0" borderId="0" xfId="0" applyFont="1" applyAlignment="1">
      <alignment vertical="top" wrapText="1"/>
    </xf>
    <xf numFmtId="4" fontId="1" fillId="0" borderId="0" xfId="1" applyNumberFormat="1" applyAlignment="1">
      <alignment shrinkToFit="1"/>
    </xf>
    <xf numFmtId="0" fontId="1" fillId="0" borderId="15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right" vertical="center"/>
    </xf>
    <xf numFmtId="0" fontId="1" fillId="0" borderId="0" xfId="0" applyFont="1" applyAlignment="1"/>
    <xf numFmtId="0" fontId="0" fillId="0" borderId="0" xfId="0" applyAlignment="1">
      <alignment horizontal="right"/>
    </xf>
    <xf numFmtId="49" fontId="0" fillId="0" borderId="0" xfId="0" applyNumberFormat="1"/>
    <xf numFmtId="49" fontId="8" fillId="0" borderId="0" xfId="0" applyNumberFormat="1" applyFont="1" applyAlignment="1">
      <alignment horizontal="right"/>
    </xf>
    <xf numFmtId="0" fontId="13" fillId="0" borderId="0" xfId="0" applyFont="1"/>
    <xf numFmtId="49" fontId="13" fillId="0" borderId="0" xfId="0" applyNumberFormat="1" applyFont="1" applyAlignment="1">
      <alignment horizontal="left"/>
    </xf>
    <xf numFmtId="4" fontId="1" fillId="0" borderId="0" xfId="1" applyNumberFormat="1"/>
    <xf numFmtId="0" fontId="33" fillId="0" borderId="0" xfId="0" applyFont="1"/>
    <xf numFmtId="0" fontId="1" fillId="0" borderId="0" xfId="1" applyFill="1"/>
    <xf numFmtId="49" fontId="12" fillId="0" borderId="0" xfId="1" applyNumberFormat="1" applyFont="1" applyFill="1" applyBorder="1"/>
    <xf numFmtId="3" fontId="12" fillId="0" borderId="0" xfId="1" applyNumberFormat="1" applyFont="1" applyFill="1" applyBorder="1"/>
    <xf numFmtId="3" fontId="11" fillId="0" borderId="0" xfId="1" applyNumberFormat="1" applyFont="1" applyFill="1" applyBorder="1"/>
    <xf numFmtId="0" fontId="35" fillId="4" borderId="0" xfId="0" applyFont="1" applyFill="1"/>
    <xf numFmtId="3" fontId="36" fillId="4" borderId="0" xfId="0" applyNumberFormat="1" applyFont="1" applyFill="1" applyBorder="1" applyAlignment="1">
      <alignment horizontal="left"/>
    </xf>
    <xf numFmtId="4" fontId="35" fillId="4" borderId="0" xfId="1" applyNumberFormat="1" applyFont="1" applyFill="1" applyBorder="1" applyAlignment="1"/>
    <xf numFmtId="49" fontId="1" fillId="5" borderId="15" xfId="1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Alignment="1">
      <alignment horizontal="right"/>
    </xf>
    <xf numFmtId="3" fontId="7" fillId="0" borderId="0" xfId="1" applyNumberFormat="1" applyFont="1" applyFill="1" applyAlignment="1">
      <alignment horizontal="right"/>
    </xf>
    <xf numFmtId="3" fontId="8" fillId="0" borderId="0" xfId="1" applyNumberFormat="1" applyFont="1" applyFill="1" applyAlignment="1">
      <alignment horizontal="left"/>
    </xf>
    <xf numFmtId="3" fontId="1" fillId="0" borderId="0" xfId="1" applyNumberFormat="1" applyFont="1" applyFill="1" applyAlignment="1">
      <alignment horizontal="right"/>
    </xf>
    <xf numFmtId="4" fontId="11" fillId="0" borderId="14" xfId="1" applyNumberFormat="1" applyFont="1" applyFill="1" applyBorder="1" applyAlignment="1">
      <alignment horizontal="right" vertical="center"/>
    </xf>
    <xf numFmtId="3" fontId="11" fillId="0" borderId="14" xfId="1" applyNumberFormat="1" applyFont="1" applyFill="1" applyBorder="1" applyAlignment="1">
      <alignment horizontal="right" vertical="center"/>
    </xf>
    <xf numFmtId="3" fontId="11" fillId="0" borderId="16" xfId="1" applyNumberFormat="1" applyFont="1" applyFill="1" applyBorder="1" applyAlignment="1">
      <alignment horizontal="right" vertical="center"/>
    </xf>
    <xf numFmtId="4" fontId="12" fillId="0" borderId="21" xfId="1" applyNumberFormat="1" applyFont="1" applyFill="1" applyBorder="1" applyAlignment="1">
      <alignment horizontal="right" vertical="center"/>
    </xf>
    <xf numFmtId="3" fontId="12" fillId="0" borderId="21" xfId="1" applyNumberFormat="1" applyFont="1" applyFill="1" applyBorder="1" applyAlignment="1">
      <alignment horizontal="right" vertical="center"/>
    </xf>
    <xf numFmtId="3" fontId="12" fillId="0" borderId="20" xfId="1" applyNumberFormat="1" applyFont="1" applyFill="1" applyBorder="1" applyAlignment="1">
      <alignment horizontal="right" vertical="center"/>
    </xf>
    <xf numFmtId="3" fontId="1" fillId="0" borderId="0" xfId="1" applyNumberFormat="1" applyFill="1" applyAlignment="1"/>
    <xf numFmtId="3" fontId="11" fillId="0" borderId="0" xfId="0" applyNumberFormat="1" applyFont="1" applyBorder="1"/>
    <xf numFmtId="3" fontId="12" fillId="0" borderId="56" xfId="0" applyNumberFormat="1" applyFont="1" applyBorder="1"/>
    <xf numFmtId="3" fontId="11" fillId="0" borderId="56" xfId="0" applyNumberFormat="1" applyFont="1" applyBorder="1"/>
    <xf numFmtId="49" fontId="22" fillId="0" borderId="0" xfId="1" applyNumberFormat="1" applyFont="1" applyBorder="1"/>
    <xf numFmtId="3" fontId="23" fillId="0" borderId="0" xfId="1" applyNumberFormat="1" applyFont="1" applyBorder="1"/>
    <xf numFmtId="49" fontId="12" fillId="0" borderId="0" xfId="1" applyNumberFormat="1" applyFont="1" applyBorder="1"/>
    <xf numFmtId="3" fontId="12" fillId="0" borderId="0" xfId="1" applyNumberFormat="1" applyFont="1" applyBorder="1"/>
    <xf numFmtId="3" fontId="12" fillId="0" borderId="57" xfId="0" applyNumberFormat="1" applyFont="1" applyBorder="1"/>
    <xf numFmtId="3" fontId="11" fillId="0" borderId="57" xfId="0" applyNumberFormat="1" applyFont="1" applyBorder="1"/>
    <xf numFmtId="0" fontId="1" fillId="0" borderId="0" xfId="1" applyAlignment="1">
      <alignment horizontal="right"/>
    </xf>
    <xf numFmtId="0" fontId="10" fillId="6" borderId="10" xfId="1" applyFont="1" applyFill="1" applyBorder="1" applyAlignment="1">
      <alignment horizontal="center"/>
    </xf>
    <xf numFmtId="3" fontId="10" fillId="6" borderId="10" xfId="1" applyNumberFormat="1" applyFont="1" applyFill="1" applyBorder="1" applyAlignment="1">
      <alignment horizontal="center"/>
    </xf>
    <xf numFmtId="3" fontId="10" fillId="6" borderId="12" xfId="1" applyNumberFormat="1" applyFont="1" applyFill="1" applyBorder="1" applyAlignment="1">
      <alignment horizontal="center"/>
    </xf>
    <xf numFmtId="3" fontId="10" fillId="6" borderId="37" xfId="1" applyNumberFormat="1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3" fontId="10" fillId="6" borderId="10" xfId="0" applyNumberFormat="1" applyFont="1" applyFill="1" applyBorder="1" applyAlignment="1">
      <alignment horizontal="center"/>
    </xf>
    <xf numFmtId="3" fontId="10" fillId="6" borderId="12" xfId="0" applyNumberFormat="1" applyFont="1" applyFill="1" applyBorder="1" applyAlignment="1">
      <alignment horizontal="center"/>
    </xf>
    <xf numFmtId="3" fontId="10" fillId="6" borderId="1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 vertical="center" wrapText="1"/>
    </xf>
    <xf numFmtId="49" fontId="2" fillId="6" borderId="4" xfId="0" applyNumberFormat="1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3" fontId="2" fillId="6" borderId="3" xfId="0" applyNumberFormat="1" applyFont="1" applyFill="1" applyBorder="1" applyAlignment="1">
      <alignment horizontal="center" vertical="center" wrapText="1"/>
    </xf>
    <xf numFmtId="3" fontId="2" fillId="6" borderId="0" xfId="0" applyNumberFormat="1" applyFont="1" applyFill="1" applyBorder="1" applyAlignment="1">
      <alignment horizontal="center" vertical="center" wrapText="1"/>
    </xf>
    <xf numFmtId="3" fontId="2" fillId="6" borderId="6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top" wrapText="1"/>
    </xf>
    <xf numFmtId="0" fontId="2" fillId="6" borderId="0" xfId="0" applyFont="1" applyFill="1" applyAlignment="1">
      <alignment horizontal="center" vertical="top" wrapText="1"/>
    </xf>
    <xf numFmtId="3" fontId="2" fillId="6" borderId="3" xfId="0" applyNumberFormat="1" applyFont="1" applyFill="1" applyBorder="1" applyAlignment="1">
      <alignment horizontal="center" vertical="top" wrapText="1"/>
    </xf>
    <xf numFmtId="3" fontId="9" fillId="6" borderId="7" xfId="0" applyNumberFormat="1" applyFont="1" applyFill="1" applyBorder="1" applyAlignment="1">
      <alignment horizontal="center" vertical="top" wrapText="1"/>
    </xf>
    <xf numFmtId="3" fontId="9" fillId="6" borderId="8" xfId="0" applyNumberFormat="1" applyFont="1" applyFill="1" applyBorder="1" applyAlignment="1">
      <alignment horizontal="center" vertical="top" wrapText="1"/>
    </xf>
    <xf numFmtId="49" fontId="2" fillId="6" borderId="9" xfId="0" applyNumberFormat="1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3" fontId="10" fillId="6" borderId="12" xfId="0" applyNumberFormat="1" applyFont="1" applyFill="1" applyBorder="1" applyAlignment="1">
      <alignment horizontal="center" shrinkToFit="1"/>
    </xf>
    <xf numFmtId="0" fontId="2" fillId="6" borderId="15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3" fontId="2" fillId="6" borderId="15" xfId="0" applyNumberFormat="1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3" fontId="10" fillId="6" borderId="13" xfId="1" applyNumberFormat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49" fontId="2" fillId="6" borderId="3" xfId="1" applyNumberFormat="1" applyFont="1" applyFill="1" applyBorder="1" applyAlignment="1">
      <alignment horizontal="center" vertical="center" wrapText="1"/>
    </xf>
    <xf numFmtId="49" fontId="2" fillId="6" borderId="4" xfId="1" applyNumberFormat="1" applyFont="1" applyFill="1" applyBorder="1" applyAlignment="1">
      <alignment horizontal="center" vertical="center" wrapText="1"/>
    </xf>
    <xf numFmtId="3" fontId="2" fillId="6" borderId="0" xfId="1" applyNumberFormat="1" applyFont="1" applyFill="1" applyAlignment="1">
      <alignment horizontal="center" vertical="center" wrapText="1"/>
    </xf>
    <xf numFmtId="3" fontId="2" fillId="6" borderId="5" xfId="1" applyNumberFormat="1" applyFont="1" applyFill="1" applyBorder="1" applyAlignment="1">
      <alignment horizontal="center" vertical="center" wrapText="1"/>
    </xf>
    <xf numFmtId="3" fontId="2" fillId="6" borderId="3" xfId="1" applyNumberFormat="1" applyFont="1" applyFill="1" applyBorder="1" applyAlignment="1">
      <alignment horizontal="center" vertical="center" wrapText="1"/>
    </xf>
    <xf numFmtId="3" fontId="2" fillId="6" borderId="0" xfId="1" applyNumberFormat="1" applyFont="1" applyFill="1" applyBorder="1" applyAlignment="1">
      <alignment horizontal="center" vertical="center" wrapText="1"/>
    </xf>
    <xf numFmtId="3" fontId="2" fillId="6" borderId="6" xfId="1" applyNumberFormat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top" wrapText="1"/>
    </xf>
    <xf numFmtId="0" fontId="2" fillId="6" borderId="0" xfId="1" applyFont="1" applyFill="1" applyAlignment="1">
      <alignment horizontal="center" vertical="top" wrapText="1"/>
    </xf>
    <xf numFmtId="3" fontId="2" fillId="6" borderId="3" xfId="1" applyNumberFormat="1" applyFont="1" applyFill="1" applyBorder="1" applyAlignment="1">
      <alignment horizontal="center" vertical="top" wrapText="1"/>
    </xf>
    <xf numFmtId="3" fontId="9" fillId="6" borderId="7" xfId="1" applyNumberFormat="1" applyFont="1" applyFill="1" applyBorder="1" applyAlignment="1">
      <alignment horizontal="center" vertical="top" wrapText="1"/>
    </xf>
    <xf numFmtId="3" fontId="9" fillId="6" borderId="8" xfId="1" applyNumberFormat="1" applyFont="1" applyFill="1" applyBorder="1" applyAlignment="1">
      <alignment horizontal="center" vertical="top" wrapText="1"/>
    </xf>
    <xf numFmtId="49" fontId="2" fillId="6" borderId="9" xfId="1" applyNumberFormat="1" applyFont="1" applyFill="1" applyBorder="1" applyAlignment="1">
      <alignment horizontal="center"/>
    </xf>
    <xf numFmtId="49" fontId="2" fillId="6" borderId="11" xfId="1" applyNumberFormat="1" applyFont="1" applyFill="1" applyBorder="1" applyAlignment="1">
      <alignment horizontal="center"/>
    </xf>
    <xf numFmtId="0" fontId="2" fillId="6" borderId="15" xfId="1" applyFont="1" applyFill="1" applyBorder="1" applyAlignment="1">
      <alignment horizontal="center"/>
    </xf>
    <xf numFmtId="0" fontId="2" fillId="6" borderId="14" xfId="1" applyFont="1" applyFill="1" applyBorder="1" applyAlignment="1">
      <alignment horizontal="center"/>
    </xf>
    <xf numFmtId="3" fontId="2" fillId="6" borderId="15" xfId="1" applyNumberFormat="1" applyFont="1" applyFill="1" applyBorder="1" applyAlignment="1">
      <alignment horizontal="center"/>
    </xf>
    <xf numFmtId="3" fontId="2" fillId="6" borderId="16" xfId="0" applyNumberFormat="1" applyFont="1" applyFill="1" applyBorder="1" applyAlignment="1">
      <alignment horizontal="center"/>
    </xf>
    <xf numFmtId="3" fontId="10" fillId="6" borderId="12" xfId="1" applyNumberFormat="1" applyFont="1" applyFill="1" applyBorder="1" applyAlignment="1">
      <alignment horizontal="center" shrinkToFit="1"/>
    </xf>
    <xf numFmtId="49" fontId="2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right"/>
    </xf>
    <xf numFmtId="0" fontId="1" fillId="0" borderId="0" xfId="1" applyFill="1" applyAlignment="1">
      <alignment horizontal="right"/>
    </xf>
    <xf numFmtId="3" fontId="23" fillId="0" borderId="0" xfId="1" applyNumberFormat="1" applyFont="1" applyFill="1" applyBorder="1"/>
    <xf numFmtId="3" fontId="10" fillId="6" borderId="44" xfId="1" applyNumberFormat="1" applyFont="1" applyFill="1" applyBorder="1" applyAlignment="1">
      <alignment horizontal="center"/>
    </xf>
    <xf numFmtId="4" fontId="11" fillId="0" borderId="14" xfId="1" applyNumberFormat="1" applyFont="1" applyFill="1" applyBorder="1" applyAlignment="1">
      <alignment horizontal="right" vertical="center" shrinkToFit="1"/>
    </xf>
    <xf numFmtId="3" fontId="11" fillId="0" borderId="14" xfId="1" applyNumberFormat="1" applyFont="1" applyFill="1" applyBorder="1" applyAlignment="1">
      <alignment horizontal="right" vertical="center" shrinkToFit="1"/>
    </xf>
    <xf numFmtId="3" fontId="11" fillId="0" borderId="16" xfId="1" applyNumberFormat="1" applyFont="1" applyFill="1" applyBorder="1" applyAlignment="1">
      <alignment horizontal="right" vertical="center" shrinkToFit="1"/>
    </xf>
    <xf numFmtId="164" fontId="11" fillId="0" borderId="16" xfId="1" applyNumberFormat="1" applyFont="1" applyFill="1" applyBorder="1" applyAlignment="1">
      <alignment horizontal="right" vertical="center" shrinkToFit="1"/>
    </xf>
    <xf numFmtId="9" fontId="1" fillId="0" borderId="0" xfId="1" applyNumberFormat="1"/>
    <xf numFmtId="3" fontId="1" fillId="0" borderId="0" xfId="1" applyNumberFormat="1" applyAlignment="1">
      <alignment shrinkToFit="1"/>
    </xf>
    <xf numFmtId="0" fontId="0" fillId="0" borderId="0" xfId="0" applyAlignment="1">
      <alignment horizontal="justify" vertical="justify"/>
    </xf>
    <xf numFmtId="3" fontId="2" fillId="6" borderId="18" xfId="1" applyNumberFormat="1" applyFont="1" applyFill="1" applyBorder="1" applyAlignment="1">
      <alignment horizontal="center"/>
    </xf>
    <xf numFmtId="3" fontId="2" fillId="6" borderId="17" xfId="1" applyNumberFormat="1" applyFont="1" applyFill="1" applyBorder="1" applyAlignment="1">
      <alignment horizontal="center"/>
    </xf>
    <xf numFmtId="4" fontId="12" fillId="0" borderId="21" xfId="1" applyNumberFormat="1" applyFont="1" applyFill="1" applyBorder="1" applyAlignment="1">
      <alignment horizontal="right" vertical="center" shrinkToFit="1"/>
    </xf>
    <xf numFmtId="3" fontId="12" fillId="0" borderId="21" xfId="1" applyNumberFormat="1" applyFont="1" applyFill="1" applyBorder="1" applyAlignment="1">
      <alignment horizontal="right" vertical="center" shrinkToFit="1"/>
    </xf>
    <xf numFmtId="3" fontId="12" fillId="0" borderId="20" xfId="1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right"/>
    </xf>
    <xf numFmtId="49" fontId="2" fillId="6" borderId="3" xfId="0" applyNumberFormat="1" applyFont="1" applyFill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0" xfId="1" applyNumberFormat="1" applyAlignment="1">
      <alignment horizontal="left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1" fillId="0" borderId="0" xfId="1" applyNumberFormat="1" applyFill="1" applyAlignment="1"/>
    <xf numFmtId="3" fontId="10" fillId="6" borderId="24" xfId="1" applyNumberFormat="1" applyFont="1" applyFill="1" applyBorder="1" applyAlignment="1">
      <alignment horizontal="center"/>
    </xf>
    <xf numFmtId="3" fontId="11" fillId="0" borderId="17" xfId="1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 vertical="center" shrinkToFit="1"/>
    </xf>
    <xf numFmtId="3" fontId="2" fillId="6" borderId="31" xfId="1" applyNumberFormat="1" applyFont="1" applyFill="1" applyBorder="1" applyAlignment="1">
      <alignment horizontal="center"/>
    </xf>
    <xf numFmtId="3" fontId="2" fillId="6" borderId="4" xfId="1" applyNumberFormat="1" applyFont="1" applyFill="1" applyBorder="1" applyAlignment="1">
      <alignment horizontal="center" vertical="center" wrapText="1"/>
    </xf>
    <xf numFmtId="3" fontId="9" fillId="6" borderId="59" xfId="1" applyNumberFormat="1" applyFont="1" applyFill="1" applyBorder="1" applyAlignment="1">
      <alignment horizontal="center" vertical="top" wrapText="1"/>
    </xf>
    <xf numFmtId="3" fontId="10" fillId="6" borderId="60" xfId="1" applyNumberFormat="1" applyFont="1" applyFill="1" applyBorder="1" applyAlignment="1">
      <alignment horizontal="center"/>
    </xf>
    <xf numFmtId="3" fontId="2" fillId="6" borderId="58" xfId="1" applyNumberFormat="1" applyFont="1" applyFill="1" applyBorder="1" applyAlignment="1">
      <alignment horizontal="center"/>
    </xf>
    <xf numFmtId="3" fontId="11" fillId="0" borderId="58" xfId="1" applyNumberFormat="1" applyFont="1" applyFill="1" applyBorder="1" applyAlignment="1">
      <alignment horizontal="right" vertical="center"/>
    </xf>
    <xf numFmtId="164" fontId="11" fillId="0" borderId="58" xfId="1" applyNumberFormat="1" applyFont="1" applyFill="1" applyBorder="1" applyAlignment="1">
      <alignment horizontal="right" vertical="center" shrinkToFit="1"/>
    </xf>
    <xf numFmtId="3" fontId="12" fillId="0" borderId="58" xfId="1" applyNumberFormat="1" applyFont="1" applyFill="1" applyBorder="1" applyAlignment="1">
      <alignment horizontal="right" vertical="center" shrinkToFit="1"/>
    </xf>
    <xf numFmtId="3" fontId="1" fillId="0" borderId="35" xfId="1" applyNumberFormat="1" applyBorder="1"/>
    <xf numFmtId="3" fontId="1" fillId="0" borderId="39" xfId="1" applyNumberFormat="1" applyBorder="1"/>
    <xf numFmtId="3" fontId="12" fillId="0" borderId="35" xfId="1" applyNumberFormat="1" applyFont="1" applyBorder="1"/>
    <xf numFmtId="3" fontId="12" fillId="0" borderId="39" xfId="1" applyNumberFormat="1" applyFont="1" applyBorder="1"/>
    <xf numFmtId="0" fontId="11" fillId="0" borderId="0" xfId="0" applyFont="1" applyFill="1" applyAlignment="1">
      <alignment horizontal="justify" vertical="justify"/>
    </xf>
    <xf numFmtId="3" fontId="7" fillId="0" borderId="48" xfId="1" applyNumberFormat="1" applyFont="1" applyBorder="1"/>
    <xf numFmtId="3" fontId="7" fillId="0" borderId="38" xfId="1" applyNumberFormat="1" applyFont="1" applyBorder="1"/>
    <xf numFmtId="3" fontId="7" fillId="0" borderId="35" xfId="1" applyNumberFormat="1" applyFont="1" applyBorder="1"/>
    <xf numFmtId="3" fontId="7" fillId="0" borderId="39" xfId="1" applyNumberFormat="1" applyFont="1" applyBorder="1"/>
    <xf numFmtId="3" fontId="1" fillId="0" borderId="35" xfId="1" applyNumberFormat="1" applyFont="1" applyBorder="1"/>
    <xf numFmtId="3" fontId="1" fillId="0" borderId="39" xfId="1" applyNumberFormat="1" applyFont="1" applyBorder="1"/>
    <xf numFmtId="4" fontId="7" fillId="0" borderId="0" xfId="0" applyNumberFormat="1" applyFont="1" applyFill="1" applyAlignment="1">
      <alignment horizontal="justify" vertical="justify"/>
    </xf>
    <xf numFmtId="4" fontId="1" fillId="0" borderId="35" xfId="1" applyNumberFormat="1" applyBorder="1"/>
    <xf numFmtId="0" fontId="2" fillId="6" borderId="32" xfId="1" applyFont="1" applyFill="1" applyBorder="1" applyAlignment="1">
      <alignment horizontal="center"/>
    </xf>
    <xf numFmtId="0" fontId="10" fillId="6" borderId="44" xfId="1" applyFont="1" applyFill="1" applyBorder="1" applyAlignment="1">
      <alignment horizontal="center"/>
    </xf>
    <xf numFmtId="49" fontId="7" fillId="0" borderId="48" xfId="1" applyNumberFormat="1" applyFont="1" applyBorder="1"/>
    <xf numFmtId="49" fontId="1" fillId="0" borderId="35" xfId="1" applyNumberFormat="1" applyBorder="1"/>
    <xf numFmtId="49" fontId="11" fillId="0" borderId="35" xfId="1" applyNumberFormat="1" applyFont="1" applyBorder="1"/>
    <xf numFmtId="49" fontId="7" fillId="0" borderId="35" xfId="1" applyNumberFormat="1" applyFont="1" applyBorder="1"/>
    <xf numFmtId="49" fontId="7" fillId="0" borderId="40" xfId="1" applyNumberFormat="1" applyFont="1" applyBorder="1"/>
    <xf numFmtId="3" fontId="7" fillId="0" borderId="40" xfId="1" applyNumberFormat="1" applyFont="1" applyBorder="1"/>
    <xf numFmtId="3" fontId="7" fillId="0" borderId="65" xfId="1" applyNumberFormat="1" applyFont="1" applyBorder="1"/>
    <xf numFmtId="3" fontId="10" fillId="6" borderId="47" xfId="1" applyNumberFormat="1" applyFont="1" applyFill="1" applyBorder="1" applyAlignment="1">
      <alignment horizontal="center" wrapText="1"/>
    </xf>
    <xf numFmtId="3" fontId="10" fillId="6" borderId="36" xfId="1" applyNumberFormat="1" applyFont="1" applyFill="1" applyBorder="1" applyAlignment="1">
      <alignment horizontal="center" wrapText="1"/>
    </xf>
    <xf numFmtId="0" fontId="2" fillId="6" borderId="46" xfId="1" applyFont="1" applyFill="1" applyBorder="1" applyAlignment="1">
      <alignment horizontal="center"/>
    </xf>
    <xf numFmtId="0" fontId="2" fillId="6" borderId="62" xfId="1" applyFont="1" applyFill="1" applyBorder="1" applyAlignment="1">
      <alignment horizontal="center"/>
    </xf>
    <xf numFmtId="10" fontId="7" fillId="0" borderId="38" xfId="1" applyNumberFormat="1" applyFont="1" applyBorder="1"/>
    <xf numFmtId="10" fontId="1" fillId="0" borderId="39" xfId="1" applyNumberFormat="1" applyBorder="1"/>
    <xf numFmtId="10" fontId="7" fillId="0" borderId="39" xfId="1" applyNumberFormat="1" applyFont="1" applyBorder="1"/>
    <xf numFmtId="10" fontId="7" fillId="0" borderId="65" xfId="1" applyNumberFormat="1" applyFont="1" applyBorder="1"/>
    <xf numFmtId="10" fontId="11" fillId="0" borderId="39" xfId="1" applyNumberFormat="1" applyFont="1" applyBorder="1"/>
    <xf numFmtId="0" fontId="2" fillId="6" borderId="25" xfId="1" applyFont="1" applyFill="1" applyBorder="1" applyAlignment="1">
      <alignment horizontal="center"/>
    </xf>
    <xf numFmtId="3" fontId="10" fillId="6" borderId="61" xfId="1" applyNumberFormat="1" applyFont="1" applyFill="1" applyBorder="1" applyAlignment="1">
      <alignment horizontal="center" wrapText="1"/>
    </xf>
    <xf numFmtId="3" fontId="22" fillId="0" borderId="39" xfId="1" applyNumberFormat="1" applyFont="1" applyBorder="1"/>
    <xf numFmtId="49" fontId="12" fillId="0" borderId="35" xfId="1" applyNumberFormat="1" applyFont="1" applyBorder="1"/>
    <xf numFmtId="3" fontId="11" fillId="0" borderId="44" xfId="1" applyNumberFormat="1" applyFont="1" applyBorder="1"/>
    <xf numFmtId="3" fontId="22" fillId="0" borderId="44" xfId="1" applyNumberFormat="1" applyFont="1" applyBorder="1"/>
    <xf numFmtId="49" fontId="2" fillId="6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justify"/>
    </xf>
    <xf numFmtId="3" fontId="7" fillId="0" borderId="26" xfId="1" applyNumberFormat="1" applyFont="1" applyBorder="1"/>
    <xf numFmtId="0" fontId="1" fillId="0" borderId="0" xfId="1" applyFont="1"/>
    <xf numFmtId="3" fontId="11" fillId="0" borderId="5" xfId="1" applyNumberFormat="1" applyFont="1" applyBorder="1"/>
    <xf numFmtId="3" fontId="7" fillId="0" borderId="1" xfId="1" applyNumberFormat="1" applyFont="1" applyBorder="1"/>
    <xf numFmtId="3" fontId="11" fillId="0" borderId="0" xfId="1" applyNumberFormat="1" applyFont="1" applyBorder="1"/>
    <xf numFmtId="3" fontId="1" fillId="0" borderId="0" xfId="1" applyNumberFormat="1" applyBorder="1"/>
    <xf numFmtId="0" fontId="2" fillId="6" borderId="53" xfId="1" applyFont="1" applyFill="1" applyBorder="1" applyAlignment="1">
      <alignment horizontal="center"/>
    </xf>
    <xf numFmtId="0" fontId="10" fillId="6" borderId="69" xfId="1" applyFont="1" applyFill="1" applyBorder="1" applyAlignment="1">
      <alignment horizontal="center"/>
    </xf>
    <xf numFmtId="49" fontId="11" fillId="0" borderId="54" xfId="1" applyNumberFormat="1" applyFont="1" applyBorder="1"/>
    <xf numFmtId="49" fontId="12" fillId="0" borderId="54" xfId="1" applyNumberFormat="1" applyFont="1" applyBorder="1"/>
    <xf numFmtId="3" fontId="6" fillId="0" borderId="35" xfId="1" applyNumberFormat="1" applyFont="1" applyBorder="1"/>
    <xf numFmtId="3" fontId="6" fillId="0" borderId="39" xfId="1" applyNumberFormat="1" applyFont="1" applyBorder="1"/>
    <xf numFmtId="3" fontId="7" fillId="0" borderId="73" xfId="1" applyNumberFormat="1" applyFont="1" applyBorder="1"/>
    <xf numFmtId="3" fontId="10" fillId="6" borderId="71" xfId="1" applyNumberFormat="1" applyFont="1" applyFill="1" applyBorder="1" applyAlignment="1">
      <alignment horizontal="center"/>
    </xf>
    <xf numFmtId="3" fontId="12" fillId="0" borderId="74" xfId="1" applyNumberFormat="1" applyFont="1" applyBorder="1"/>
    <xf numFmtId="3" fontId="11" fillId="0" borderId="73" xfId="1" applyNumberFormat="1" applyFont="1" applyBorder="1"/>
    <xf numFmtId="3" fontId="22" fillId="0" borderId="73" xfId="1" applyNumberFormat="1" applyFont="1" applyBorder="1"/>
    <xf numFmtId="3" fontId="22" fillId="0" borderId="71" xfId="1" applyNumberFormat="1" applyFont="1" applyBorder="1"/>
    <xf numFmtId="0" fontId="2" fillId="6" borderId="32" xfId="0" applyFont="1" applyFill="1" applyBorder="1" applyAlignment="1">
      <alignment horizontal="center"/>
    </xf>
    <xf numFmtId="0" fontId="2" fillId="6" borderId="50" xfId="0" applyFont="1" applyFill="1" applyBorder="1" applyAlignment="1">
      <alignment horizontal="center"/>
    </xf>
    <xf numFmtId="0" fontId="2" fillId="6" borderId="76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 vertical="top" wrapText="1"/>
    </xf>
    <xf numFmtId="0" fontId="2" fillId="6" borderId="0" xfId="0" applyFont="1" applyFill="1" applyBorder="1" applyAlignment="1">
      <alignment horizontal="center" vertical="top" wrapText="1"/>
    </xf>
    <xf numFmtId="49" fontId="2" fillId="6" borderId="79" xfId="0" applyNumberFormat="1" applyFont="1" applyFill="1" applyBorder="1" applyAlignment="1">
      <alignment horizontal="center"/>
    </xf>
    <xf numFmtId="0" fontId="2" fillId="6" borderId="80" xfId="0" applyFont="1" applyFill="1" applyBorder="1" applyAlignment="1">
      <alignment horizontal="center"/>
    </xf>
    <xf numFmtId="49" fontId="1" fillId="0" borderId="80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2" fillId="0" borderId="41" xfId="0" applyFont="1" applyBorder="1" applyAlignment="1">
      <alignment horizontal="left" vertical="center" wrapText="1"/>
    </xf>
    <xf numFmtId="3" fontId="12" fillId="0" borderId="82" xfId="0" applyNumberFormat="1" applyFont="1" applyBorder="1" applyAlignment="1">
      <alignment horizontal="right" vertical="center"/>
    </xf>
    <xf numFmtId="3" fontId="12" fillId="0" borderId="83" xfId="0" applyNumberFormat="1" applyFont="1" applyBorder="1" applyAlignment="1">
      <alignment horizontal="right" vertical="center"/>
    </xf>
    <xf numFmtId="3" fontId="12" fillId="0" borderId="41" xfId="0" applyNumberFormat="1" applyFont="1" applyBorder="1" applyAlignment="1">
      <alignment horizontal="right" vertical="center"/>
    </xf>
    <xf numFmtId="3" fontId="12" fillId="0" borderId="66" xfId="0" applyNumberFormat="1" applyFont="1" applyBorder="1" applyAlignment="1">
      <alignment horizontal="right" vertical="center"/>
    </xf>
    <xf numFmtId="3" fontId="12" fillId="0" borderId="84" xfId="0" applyNumberFormat="1" applyFont="1" applyBorder="1" applyAlignment="1">
      <alignment horizontal="right" vertical="center"/>
    </xf>
    <xf numFmtId="0" fontId="12" fillId="0" borderId="0" xfId="0" applyFont="1"/>
    <xf numFmtId="49" fontId="7" fillId="0" borderId="40" xfId="0" applyNumberFormat="1" applyFont="1" applyBorder="1"/>
    <xf numFmtId="3" fontId="7" fillId="0" borderId="65" xfId="0" applyNumberFormat="1" applyFont="1" applyBorder="1"/>
    <xf numFmtId="49" fontId="11" fillId="0" borderId="35" xfId="0" applyNumberFormat="1" applyFont="1" applyBorder="1"/>
    <xf numFmtId="3" fontId="11" fillId="0" borderId="39" xfId="0" applyNumberFormat="1" applyFont="1" applyBorder="1"/>
    <xf numFmtId="0" fontId="1" fillId="0" borderId="0" xfId="2"/>
    <xf numFmtId="0" fontId="2" fillId="0" borderId="0" xfId="2" applyFont="1"/>
    <xf numFmtId="0" fontId="7" fillId="0" borderId="0" xfId="2" applyFont="1" applyFill="1"/>
    <xf numFmtId="0" fontId="20" fillId="0" borderId="0" xfId="2" applyFont="1" applyFill="1" applyProtection="1">
      <protection locked="0"/>
    </xf>
    <xf numFmtId="0" fontId="20" fillId="0" borderId="0" xfId="2" applyFont="1" applyFill="1"/>
    <xf numFmtId="4" fontId="7" fillId="0" borderId="0" xfId="2" applyNumberFormat="1" applyFont="1" applyFill="1" applyAlignment="1">
      <alignment horizontal="justify" vertical="justify"/>
    </xf>
    <xf numFmtId="0" fontId="11" fillId="0" borderId="0" xfId="2" applyFont="1" applyFill="1" applyAlignment="1">
      <alignment horizontal="justify" vertical="justify"/>
    </xf>
    <xf numFmtId="0" fontId="11" fillId="0" borderId="0" xfId="2" applyFont="1" applyAlignment="1">
      <alignment vertical="top" wrapText="1"/>
    </xf>
    <xf numFmtId="0" fontId="7" fillId="0" borderId="0" xfId="2" applyFont="1"/>
    <xf numFmtId="0" fontId="12" fillId="0" borderId="0" xfId="2" applyFont="1" applyFill="1"/>
    <xf numFmtId="3" fontId="1" fillId="0" borderId="0" xfId="2" applyNumberFormat="1" applyFill="1" applyProtection="1">
      <protection locked="0"/>
    </xf>
    <xf numFmtId="0" fontId="1" fillId="0" borderId="0" xfId="2" applyFill="1" applyProtection="1">
      <protection locked="0"/>
    </xf>
    <xf numFmtId="0" fontId="11" fillId="0" borderId="0" xfId="2" applyFont="1" applyAlignment="1" applyProtection="1">
      <protection locked="0"/>
    </xf>
    <xf numFmtId="0" fontId="1" fillId="0" borderId="0" xfId="2" applyAlignment="1"/>
    <xf numFmtId="0" fontId="1" fillId="0" borderId="0" xfId="2" applyProtection="1">
      <protection locked="0"/>
    </xf>
    <xf numFmtId="0" fontId="7" fillId="0" borderId="0" xfId="2" applyFont="1" applyBorder="1" applyProtection="1">
      <protection locked="0"/>
    </xf>
    <xf numFmtId="3" fontId="16" fillId="0" borderId="0" xfId="2" applyNumberFormat="1" applyFont="1" applyFill="1" applyBorder="1"/>
    <xf numFmtId="10" fontId="16" fillId="0" borderId="0" xfId="2" applyNumberFormat="1" applyFont="1" applyFill="1" applyBorder="1"/>
    <xf numFmtId="49" fontId="12" fillId="0" borderId="35" xfId="0" applyNumberFormat="1" applyFont="1" applyBorder="1"/>
    <xf numFmtId="10" fontId="12" fillId="0" borderId="39" xfId="1" applyNumberFormat="1" applyFont="1" applyBorder="1"/>
    <xf numFmtId="3" fontId="12" fillId="0" borderId="39" xfId="0" applyNumberFormat="1" applyFont="1" applyBorder="1"/>
    <xf numFmtId="3" fontId="12" fillId="0" borderId="73" xfId="0" applyNumberFormat="1" applyFont="1" applyBorder="1"/>
    <xf numFmtId="3" fontId="11" fillId="0" borderId="73" xfId="0" applyNumberFormat="1" applyFont="1" applyBorder="1"/>
    <xf numFmtId="0" fontId="0" fillId="0" borderId="73" xfId="0" applyBorder="1"/>
    <xf numFmtId="0" fontId="0" fillId="0" borderId="39" xfId="0" applyBorder="1"/>
    <xf numFmtId="3" fontId="7" fillId="0" borderId="88" xfId="0" applyNumberFormat="1" applyFont="1" applyBorder="1"/>
    <xf numFmtId="3" fontId="22" fillId="0" borderId="12" xfId="1" applyNumberFormat="1" applyFont="1" applyBorder="1"/>
    <xf numFmtId="3" fontId="10" fillId="6" borderId="92" xfId="1" applyNumberFormat="1" applyFont="1" applyFill="1" applyBorder="1" applyAlignment="1">
      <alignment horizontal="center"/>
    </xf>
    <xf numFmtId="0" fontId="38" fillId="0" borderId="0" xfId="2" applyFont="1" applyFill="1" applyProtection="1">
      <protection locked="0"/>
    </xf>
    <xf numFmtId="0" fontId="38" fillId="0" borderId="0" xfId="2" applyFont="1" applyFill="1"/>
    <xf numFmtId="49" fontId="22" fillId="0" borderId="35" xfId="1" applyNumberFormat="1" applyFont="1" applyBorder="1"/>
    <xf numFmtId="0" fontId="33" fillId="0" borderId="35" xfId="2" applyFont="1" applyBorder="1"/>
    <xf numFmtId="0" fontId="1" fillId="0" borderId="39" xfId="1" applyBorder="1"/>
    <xf numFmtId="0" fontId="6" fillId="0" borderId="35" xfId="2" applyFont="1" applyBorder="1" applyProtection="1">
      <protection locked="0"/>
    </xf>
    <xf numFmtId="0" fontId="7" fillId="0" borderId="40" xfId="2" applyFont="1" applyBorder="1" applyProtection="1">
      <protection locked="0"/>
    </xf>
    <xf numFmtId="3" fontId="17" fillId="0" borderId="39" xfId="2" applyNumberFormat="1" applyFont="1" applyFill="1" applyBorder="1"/>
    <xf numFmtId="3" fontId="37" fillId="0" borderId="88" xfId="2" applyNumberFormat="1" applyFont="1" applyFill="1" applyBorder="1"/>
    <xf numFmtId="0" fontId="2" fillId="6" borderId="63" xfId="1" applyFont="1" applyFill="1" applyBorder="1" applyAlignment="1">
      <alignment horizontal="center"/>
    </xf>
    <xf numFmtId="3" fontId="10" fillId="6" borderId="64" xfId="1" applyNumberFormat="1" applyFont="1" applyFill="1" applyBorder="1" applyAlignment="1">
      <alignment horizontal="center" wrapText="1"/>
    </xf>
    <xf numFmtId="3" fontId="7" fillId="0" borderId="74" xfId="1" applyNumberFormat="1" applyFont="1" applyBorder="1"/>
    <xf numFmtId="4" fontId="1" fillId="0" borderId="73" xfId="1" applyNumberFormat="1" applyBorder="1"/>
    <xf numFmtId="4" fontId="1" fillId="0" borderId="73" xfId="1" applyNumberFormat="1" applyFont="1" applyBorder="1"/>
    <xf numFmtId="3" fontId="23" fillId="0" borderId="73" xfId="1" applyNumberFormat="1" applyFont="1" applyBorder="1"/>
    <xf numFmtId="0" fontId="1" fillId="0" borderId="73" xfId="1" applyBorder="1"/>
    <xf numFmtId="3" fontId="7" fillId="0" borderId="89" xfId="1" applyNumberFormat="1" applyFont="1" applyBorder="1"/>
    <xf numFmtId="3" fontId="7" fillId="0" borderId="90" xfId="1" applyNumberFormat="1" applyFont="1" applyBorder="1"/>
    <xf numFmtId="0" fontId="1" fillId="0" borderId="0" xfId="1" applyAlignment="1">
      <alignment horizontal="right"/>
    </xf>
    <xf numFmtId="0" fontId="6" fillId="0" borderId="0" xfId="1" applyFont="1" applyAlignment="1">
      <alignment horizontal="right"/>
    </xf>
    <xf numFmtId="0" fontId="6" fillId="0" borderId="35" xfId="1" applyFont="1" applyBorder="1"/>
    <xf numFmtId="3" fontId="6" fillId="0" borderId="0" xfId="1" applyNumberFormat="1" applyFont="1" applyFill="1" applyBorder="1"/>
    <xf numFmtId="0" fontId="6" fillId="0" borderId="40" xfId="1" applyFont="1" applyBorder="1"/>
    <xf numFmtId="3" fontId="7" fillId="0" borderId="0" xfId="1" applyNumberFormat="1" applyFont="1" applyFill="1" applyBorder="1"/>
    <xf numFmtId="49" fontId="7" fillId="0" borderId="49" xfId="1" applyNumberFormat="1" applyFont="1" applyBorder="1"/>
    <xf numFmtId="3" fontId="7" fillId="0" borderId="49" xfId="1" applyNumberFormat="1" applyFont="1" applyBorder="1"/>
    <xf numFmtId="3" fontId="7" fillId="0" borderId="66" xfId="1" applyNumberFormat="1" applyFont="1" applyBorder="1"/>
    <xf numFmtId="0" fontId="2" fillId="6" borderId="50" xfId="1" applyFont="1" applyFill="1" applyBorder="1" applyAlignment="1">
      <alignment horizontal="center"/>
    </xf>
    <xf numFmtId="0" fontId="2" fillId="6" borderId="76" xfId="1" applyFont="1" applyFill="1" applyBorder="1" applyAlignment="1">
      <alignment horizontal="center"/>
    </xf>
    <xf numFmtId="3" fontId="1" fillId="0" borderId="78" xfId="1" applyNumberFormat="1" applyBorder="1" applyAlignment="1"/>
    <xf numFmtId="3" fontId="1" fillId="0" borderId="50" xfId="1" applyNumberFormat="1" applyBorder="1" applyAlignment="1"/>
    <xf numFmtId="0" fontId="1" fillId="0" borderId="50" xfId="1" applyBorder="1"/>
    <xf numFmtId="3" fontId="1" fillId="0" borderId="0" xfId="1" applyNumberFormat="1" applyBorder="1" applyAlignment="1"/>
    <xf numFmtId="3" fontId="2" fillId="6" borderId="43" xfId="1" applyNumberFormat="1" applyFont="1" applyFill="1" applyBorder="1" applyAlignment="1">
      <alignment horizontal="center" vertical="center" wrapText="1"/>
    </xf>
    <xf numFmtId="0" fontId="2" fillId="6" borderId="35" xfId="1" applyFont="1" applyFill="1" applyBorder="1" applyAlignment="1">
      <alignment horizontal="center" vertical="top" wrapText="1"/>
    </xf>
    <xf numFmtId="0" fontId="2" fillId="6" borderId="0" xfId="1" applyFont="1" applyFill="1" applyBorder="1" applyAlignment="1">
      <alignment horizontal="center" vertical="top" wrapText="1"/>
    </xf>
    <xf numFmtId="3" fontId="9" fillId="6" borderId="62" xfId="1" applyNumberFormat="1" applyFont="1" applyFill="1" applyBorder="1" applyAlignment="1">
      <alignment horizontal="center" vertical="top" wrapText="1"/>
    </xf>
    <xf numFmtId="49" fontId="2" fillId="6" borderId="79" xfId="1" applyNumberFormat="1" applyFont="1" applyFill="1" applyBorder="1" applyAlignment="1">
      <alignment horizontal="center"/>
    </xf>
    <xf numFmtId="0" fontId="2" fillId="6" borderId="80" xfId="1" applyFont="1" applyFill="1" applyBorder="1" applyAlignment="1">
      <alignment horizontal="center"/>
    </xf>
    <xf numFmtId="0" fontId="35" fillId="4" borderId="0" xfId="1" applyFont="1" applyFill="1" applyBorder="1"/>
    <xf numFmtId="49" fontId="1" fillId="0" borderId="80" xfId="1" applyNumberFormat="1" applyFont="1" applyBorder="1" applyAlignment="1">
      <alignment horizontal="right" vertical="center"/>
    </xf>
    <xf numFmtId="3" fontId="11" fillId="0" borderId="75" xfId="1" applyNumberFormat="1" applyFont="1" applyBorder="1" applyAlignment="1">
      <alignment horizontal="right" vertical="center"/>
    </xf>
    <xf numFmtId="4" fontId="1" fillId="0" borderId="0" xfId="1" applyNumberFormat="1" applyBorder="1" applyAlignment="1"/>
    <xf numFmtId="0" fontId="12" fillId="0" borderId="41" xfId="1" applyFont="1" applyBorder="1" applyAlignment="1">
      <alignment horizontal="right" vertical="center"/>
    </xf>
    <xf numFmtId="3" fontId="12" fillId="0" borderId="82" xfId="1" applyNumberFormat="1" applyFont="1" applyBorder="1" applyAlignment="1">
      <alignment horizontal="right" vertical="center"/>
    </xf>
    <xf numFmtId="3" fontId="12" fillId="0" borderId="83" xfId="1" applyNumberFormat="1" applyFont="1" applyBorder="1" applyAlignment="1">
      <alignment horizontal="right" vertical="center"/>
    </xf>
    <xf numFmtId="3" fontId="12" fillId="0" borderId="41" xfId="1" applyNumberFormat="1" applyFont="1" applyBorder="1" applyAlignment="1">
      <alignment horizontal="right" vertical="center"/>
    </xf>
    <xf numFmtId="3" fontId="12" fillId="0" borderId="66" xfId="1" applyNumberFormat="1" applyFont="1" applyBorder="1" applyAlignment="1">
      <alignment horizontal="right" vertical="center"/>
    </xf>
    <xf numFmtId="4" fontId="35" fillId="4" borderId="51" xfId="1" applyNumberFormat="1" applyFont="1" applyFill="1" applyBorder="1" applyAlignment="1"/>
    <xf numFmtId="3" fontId="34" fillId="4" borderId="51" xfId="1" applyNumberFormat="1" applyFont="1" applyFill="1" applyBorder="1"/>
    <xf numFmtId="3" fontId="1" fillId="0" borderId="51" xfId="1" applyNumberFormat="1" applyBorder="1"/>
    <xf numFmtId="3" fontId="12" fillId="0" borderId="85" xfId="1" applyNumberFormat="1" applyFont="1" applyBorder="1" applyAlignment="1">
      <alignment horizontal="right" vertical="center"/>
    </xf>
    <xf numFmtId="3" fontId="2" fillId="6" borderId="5" xfId="1" applyNumberFormat="1" applyFont="1" applyFill="1" applyBorder="1" applyAlignment="1">
      <alignment horizontal="center"/>
    </xf>
    <xf numFmtId="3" fontId="10" fillId="0" borderId="24" xfId="1" applyNumberFormat="1" applyFont="1" applyBorder="1" applyAlignment="1">
      <alignment horizontal="center"/>
    </xf>
    <xf numFmtId="3" fontId="11" fillId="0" borderId="17" xfId="1" applyNumberFormat="1" applyFont="1" applyBorder="1" applyAlignment="1">
      <alignment horizontal="right" vertical="center"/>
    </xf>
    <xf numFmtId="3" fontId="2" fillId="6" borderId="80" xfId="1" applyNumberFormat="1" applyFont="1" applyFill="1" applyBorder="1" applyAlignment="1">
      <alignment horizontal="center"/>
    </xf>
    <xf numFmtId="3" fontId="11" fillId="0" borderId="80" xfId="1" applyNumberFormat="1" applyFont="1" applyBorder="1" applyAlignment="1">
      <alignment horizontal="right" vertical="center"/>
    </xf>
    <xf numFmtId="3" fontId="12" fillId="0" borderId="49" xfId="1" applyNumberFormat="1" applyFont="1" applyBorder="1" applyAlignment="1">
      <alignment horizontal="right" vertical="center"/>
    </xf>
    <xf numFmtId="3" fontId="2" fillId="6" borderId="75" xfId="1" applyNumberFormat="1" applyFont="1" applyFill="1" applyBorder="1" applyAlignment="1">
      <alignment horizontal="center"/>
    </xf>
    <xf numFmtId="3" fontId="12" fillId="0" borderId="95" xfId="1" applyNumberFormat="1" applyFont="1" applyBorder="1" applyAlignment="1">
      <alignment horizontal="right" vertical="center"/>
    </xf>
    <xf numFmtId="3" fontId="11" fillId="0" borderId="22" xfId="1" applyNumberFormat="1" applyFont="1" applyBorder="1"/>
    <xf numFmtId="3" fontId="7" fillId="0" borderId="27" xfId="1" applyNumberFormat="1" applyFont="1" applyBorder="1"/>
    <xf numFmtId="3" fontId="7" fillId="0" borderId="12" xfId="1" applyNumberFormat="1" applyFont="1" applyBorder="1"/>
    <xf numFmtId="3" fontId="7" fillId="0" borderId="13" xfId="1" applyNumberFormat="1" applyFont="1" applyBorder="1"/>
    <xf numFmtId="3" fontId="23" fillId="0" borderId="22" xfId="1" applyNumberFormat="1" applyFont="1" applyBorder="1"/>
    <xf numFmtId="3" fontId="7" fillId="0" borderId="24" xfId="1" applyNumberFormat="1" applyFont="1" applyBorder="1"/>
    <xf numFmtId="3" fontId="22" fillId="0" borderId="0" xfId="1" applyNumberFormat="1" applyFont="1" applyBorder="1"/>
    <xf numFmtId="3" fontId="7" fillId="0" borderId="17" xfId="1" applyNumberFormat="1" applyFont="1" applyBorder="1"/>
    <xf numFmtId="49" fontId="7" fillId="0" borderId="44" xfId="1" applyNumberFormat="1" applyFont="1" applyBorder="1"/>
    <xf numFmtId="3" fontId="7" fillId="0" borderId="44" xfId="1" applyNumberFormat="1" applyFont="1" applyBorder="1"/>
    <xf numFmtId="3" fontId="7" fillId="0" borderId="37" xfId="1" applyNumberFormat="1" applyFont="1" applyBorder="1"/>
    <xf numFmtId="3" fontId="7" fillId="0" borderId="95" xfId="1" applyNumberFormat="1" applyFont="1" applyBorder="1"/>
    <xf numFmtId="4" fontId="11" fillId="0" borderId="35" xfId="1" applyNumberFormat="1" applyFont="1" applyBorder="1"/>
    <xf numFmtId="0" fontId="1" fillId="0" borderId="35" xfId="1" applyFont="1" applyBorder="1"/>
    <xf numFmtId="3" fontId="7" fillId="0" borderId="97" xfId="1" applyNumberFormat="1" applyFont="1" applyBorder="1"/>
    <xf numFmtId="49" fontId="12" fillId="0" borderId="70" xfId="1" applyNumberFormat="1" applyFont="1" applyBorder="1"/>
    <xf numFmtId="49" fontId="24" fillId="0" borderId="54" xfId="1" applyNumberFormat="1" applyFont="1" applyBorder="1"/>
    <xf numFmtId="49" fontId="1" fillId="0" borderId="54" xfId="1" applyNumberFormat="1" applyBorder="1"/>
    <xf numFmtId="49" fontId="24" fillId="0" borderId="69" xfId="1" applyNumberFormat="1" applyFont="1" applyBorder="1"/>
    <xf numFmtId="49" fontId="1" fillId="0" borderId="69" xfId="1" applyNumberFormat="1" applyBorder="1"/>
    <xf numFmtId="49" fontId="7" fillId="0" borderId="94" xfId="1" applyNumberFormat="1" applyFont="1" applyBorder="1"/>
    <xf numFmtId="49" fontId="7" fillId="0" borderId="93" xfId="1" applyNumberFormat="1" applyFont="1" applyBorder="1"/>
    <xf numFmtId="3" fontId="1" fillId="0" borderId="0" xfId="1" applyNumberFormat="1" applyFill="1"/>
    <xf numFmtId="49" fontId="1" fillId="0" borderId="15" xfId="1" applyNumberFormat="1" applyFont="1" applyFill="1" applyBorder="1" applyAlignment="1">
      <alignment horizontal="right" vertical="center"/>
    </xf>
    <xf numFmtId="49" fontId="1" fillId="0" borderId="14" xfId="1" applyNumberFormat="1" applyFont="1" applyFill="1" applyBorder="1" applyAlignment="1">
      <alignment horizontal="right" vertical="center"/>
    </xf>
    <xf numFmtId="0" fontId="1" fillId="0" borderId="15" xfId="1" applyFont="1" applyFill="1" applyBorder="1" applyAlignment="1">
      <alignment horizontal="left" vertical="center"/>
    </xf>
    <xf numFmtId="49" fontId="1" fillId="0" borderId="15" xfId="1" applyNumberFormat="1" applyFont="1" applyFill="1" applyBorder="1" applyAlignment="1">
      <alignment horizontal="left" vertical="center" wrapText="1"/>
    </xf>
    <xf numFmtId="3" fontId="11" fillId="0" borderId="15" xfId="1" applyNumberFormat="1" applyFont="1" applyFill="1" applyBorder="1" applyAlignment="1">
      <alignment horizontal="right" vertical="center"/>
    </xf>
    <xf numFmtId="3" fontId="11" fillId="0" borderId="21" xfId="1" applyNumberFormat="1" applyFont="1" applyFill="1" applyBorder="1" applyAlignment="1">
      <alignment horizontal="right" vertical="center"/>
    </xf>
    <xf numFmtId="4" fontId="1" fillId="0" borderId="0" xfId="1" applyNumberFormat="1" applyFill="1" applyAlignment="1">
      <alignment shrinkToFit="1"/>
    </xf>
    <xf numFmtId="4" fontId="1" fillId="0" borderId="0" xfId="1" applyNumberFormat="1" applyFill="1"/>
    <xf numFmtId="0" fontId="12" fillId="0" borderId="17" xfId="1" applyFont="1" applyFill="1" applyBorder="1" applyAlignment="1">
      <alignment horizontal="right" vertical="center"/>
    </xf>
    <xf numFmtId="0" fontId="12" fillId="0" borderId="17" xfId="1" applyFont="1" applyFill="1" applyBorder="1" applyAlignment="1">
      <alignment horizontal="left" vertical="center" wrapText="1"/>
    </xf>
    <xf numFmtId="3" fontId="12" fillId="0" borderId="15" xfId="1" applyNumberFormat="1" applyFont="1" applyFill="1" applyBorder="1" applyAlignment="1">
      <alignment horizontal="right" vertical="center"/>
    </xf>
    <xf numFmtId="3" fontId="12" fillId="0" borderId="17" xfId="1" applyNumberFormat="1" applyFont="1" applyFill="1" applyBorder="1" applyAlignment="1">
      <alignment horizontal="right" vertical="center"/>
    </xf>
    <xf numFmtId="3" fontId="12" fillId="0" borderId="16" xfId="1" applyNumberFormat="1" applyFont="1" applyFill="1" applyBorder="1" applyAlignment="1">
      <alignment horizontal="right" vertical="center"/>
    </xf>
    <xf numFmtId="3" fontId="2" fillId="0" borderId="0" xfId="1" applyNumberFormat="1" applyFont="1" applyFill="1"/>
    <xf numFmtId="3" fontId="11" fillId="0" borderId="17" xfId="1" applyNumberFormat="1" applyFont="1" applyFill="1" applyBorder="1" applyAlignment="1">
      <alignment horizontal="right" vertical="center" shrinkToFit="1"/>
    </xf>
    <xf numFmtId="4" fontId="11" fillId="0" borderId="21" xfId="1" applyNumberFormat="1" applyFont="1" applyFill="1" applyBorder="1" applyAlignment="1">
      <alignment horizontal="right" vertical="center"/>
    </xf>
    <xf numFmtId="4" fontId="11" fillId="0" borderId="21" xfId="1" applyNumberFormat="1" applyFont="1" applyFill="1" applyBorder="1" applyAlignment="1">
      <alignment horizontal="right" vertical="center" shrinkToFit="1"/>
    </xf>
    <xf numFmtId="164" fontId="11" fillId="0" borderId="21" xfId="1" applyNumberFormat="1" applyFont="1" applyFill="1" applyBorder="1" applyAlignment="1">
      <alignment horizontal="right" vertical="center" shrinkToFit="1"/>
    </xf>
    <xf numFmtId="0" fontId="22" fillId="0" borderId="0" xfId="1" applyFont="1"/>
    <xf numFmtId="49" fontId="22" fillId="0" borderId="53" xfId="1" applyNumberFormat="1" applyFont="1" applyBorder="1"/>
    <xf numFmtId="0" fontId="22" fillId="0" borderId="0" xfId="1" applyFont="1" applyFill="1"/>
    <xf numFmtId="49" fontId="22" fillId="0" borderId="54" xfId="1" applyNumberFormat="1" applyFont="1" applyBorder="1"/>
    <xf numFmtId="0" fontId="23" fillId="0" borderId="0" xfId="1" applyFont="1"/>
    <xf numFmtId="0" fontId="23" fillId="0" borderId="0" xfId="1" applyFont="1" applyFill="1"/>
    <xf numFmtId="0" fontId="7" fillId="0" borderId="0" xfId="1" applyFont="1" applyFill="1"/>
    <xf numFmtId="0" fontId="7" fillId="6" borderId="53" xfId="1" applyFont="1" applyFill="1" applyBorder="1"/>
    <xf numFmtId="0" fontId="7" fillId="6" borderId="54" xfId="1" applyFont="1" applyFill="1" applyBorder="1"/>
    <xf numFmtId="0" fontId="7" fillId="6" borderId="55" xfId="1" applyFont="1" applyFill="1" applyBorder="1"/>
    <xf numFmtId="0" fontId="8" fillId="0" borderId="0" xfId="1" applyFont="1"/>
    <xf numFmtId="3" fontId="2" fillId="6" borderId="17" xfId="1" applyNumberFormat="1" applyFont="1" applyFill="1" applyBorder="1" applyAlignment="1">
      <alignment horizontal="center"/>
    </xf>
    <xf numFmtId="49" fontId="2" fillId="6" borderId="3" xfId="1" applyNumberFormat="1" applyFont="1" applyFill="1" applyBorder="1" applyAlignment="1">
      <alignment horizontal="center" vertical="center" wrapText="1"/>
    </xf>
    <xf numFmtId="3" fontId="12" fillId="0" borderId="58" xfId="1" applyNumberFormat="1" applyFont="1" applyBorder="1" applyAlignment="1">
      <alignment horizontal="right" vertical="center"/>
    </xf>
    <xf numFmtId="3" fontId="12" fillId="0" borderId="15" xfId="1" applyNumberFormat="1" applyFont="1" applyBorder="1" applyAlignment="1">
      <alignment horizontal="right" vertical="center"/>
    </xf>
    <xf numFmtId="3" fontId="12" fillId="0" borderId="17" xfId="1" applyNumberFormat="1" applyFont="1" applyBorder="1" applyAlignment="1">
      <alignment horizontal="right" vertical="center"/>
    </xf>
    <xf numFmtId="3" fontId="12" fillId="0" borderId="16" xfId="1" applyNumberFormat="1" applyFont="1" applyBorder="1" applyAlignment="1">
      <alignment horizontal="right" vertical="center" wrapText="1"/>
    </xf>
    <xf numFmtId="3" fontId="12" fillId="0" borderId="14" xfId="1" applyNumberFormat="1" applyFont="1" applyBorder="1" applyAlignment="1">
      <alignment horizontal="right" vertical="center" wrapText="1"/>
    </xf>
    <xf numFmtId="3" fontId="12" fillId="0" borderId="14" xfId="1" applyNumberFormat="1" applyFont="1" applyFill="1" applyBorder="1" applyAlignment="1">
      <alignment horizontal="right" vertical="center" wrapText="1"/>
    </xf>
    <xf numFmtId="49" fontId="12" fillId="0" borderId="17" xfId="1" applyNumberFormat="1" applyFont="1" applyBorder="1" applyAlignment="1">
      <alignment horizontal="left" vertical="center" wrapText="1"/>
    </xf>
    <xf numFmtId="0" fontId="12" fillId="0" borderId="17" xfId="1" applyFont="1" applyBorder="1" applyAlignment="1">
      <alignment horizontal="right" vertical="center"/>
    </xf>
    <xf numFmtId="3" fontId="12" fillId="0" borderId="100" xfId="1" applyNumberFormat="1" applyFont="1" applyFill="1" applyBorder="1" applyAlignment="1">
      <alignment horizontal="right" vertical="center" wrapText="1"/>
    </xf>
    <xf numFmtId="3" fontId="12" fillId="0" borderId="101" xfId="1" applyNumberFormat="1" applyFont="1" applyFill="1" applyBorder="1" applyAlignment="1">
      <alignment horizontal="right" vertical="center" wrapText="1"/>
    </xf>
    <xf numFmtId="49" fontId="2" fillId="0" borderId="28" xfId="1" applyNumberFormat="1" applyFont="1" applyFill="1" applyBorder="1" applyAlignment="1">
      <alignment horizontal="left" vertical="center" wrapText="1"/>
    </xf>
    <xf numFmtId="49" fontId="2" fillId="0" borderId="31" xfId="1" applyNumberFormat="1" applyFont="1" applyFill="1" applyBorder="1" applyAlignment="1">
      <alignment horizontal="left" vertical="center" wrapText="1"/>
    </xf>
    <xf numFmtId="0" fontId="2" fillId="0" borderId="102" xfId="1" applyFont="1" applyFill="1" applyBorder="1" applyAlignment="1">
      <alignment horizontal="right" vertical="center" wrapText="1"/>
    </xf>
    <xf numFmtId="49" fontId="2" fillId="0" borderId="103" xfId="1" applyNumberFormat="1" applyFont="1" applyFill="1" applyBorder="1" applyAlignment="1">
      <alignment horizontal="right" vertical="center" wrapText="1"/>
    </xf>
    <xf numFmtId="49" fontId="1" fillId="0" borderId="15" xfId="1" applyNumberFormat="1" applyFont="1" applyFill="1" applyBorder="1" applyAlignment="1">
      <alignment horizontal="left" vertical="center"/>
    </xf>
    <xf numFmtId="3" fontId="11" fillId="0" borderId="27" xfId="1" applyNumberFormat="1" applyFont="1" applyFill="1" applyBorder="1" applyAlignment="1">
      <alignment horizontal="right" vertical="center"/>
    </xf>
    <xf numFmtId="3" fontId="11" fillId="0" borderId="26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left" vertical="center" wrapText="1"/>
    </xf>
    <xf numFmtId="3" fontId="12" fillId="0" borderId="27" xfId="1" applyNumberFormat="1" applyFont="1" applyFill="1" applyBorder="1" applyAlignment="1">
      <alignment horizontal="right" vertical="center" wrapText="1"/>
    </xf>
    <xf numFmtId="3" fontId="12" fillId="0" borderId="26" xfId="1" applyNumberFormat="1" applyFont="1" applyFill="1" applyBorder="1" applyAlignment="1">
      <alignment horizontal="right" vertical="center" wrapText="1"/>
    </xf>
    <xf numFmtId="3" fontId="11" fillId="0" borderId="26" xfId="1" applyNumberFormat="1" applyFont="1" applyFill="1" applyBorder="1" applyAlignment="1">
      <alignment horizontal="right" vertical="center" wrapText="1"/>
    </xf>
    <xf numFmtId="0" fontId="2" fillId="0" borderId="15" xfId="1" applyFont="1" applyFill="1" applyBorder="1" applyAlignment="1">
      <alignment horizontal="left"/>
    </xf>
    <xf numFmtId="0" fontId="2" fillId="0" borderId="15" xfId="1" applyFont="1" applyFill="1" applyBorder="1" applyAlignment="1">
      <alignment horizontal="center"/>
    </xf>
    <xf numFmtId="49" fontId="2" fillId="0" borderId="14" xfId="1" applyNumberFormat="1" applyFont="1" applyFill="1" applyBorder="1" applyAlignment="1">
      <alignment horizontal="center"/>
    </xf>
    <xf numFmtId="49" fontId="2" fillId="0" borderId="15" xfId="1" applyNumberFormat="1" applyFont="1" applyFill="1" applyBorder="1" applyAlignment="1">
      <alignment horizontal="center"/>
    </xf>
    <xf numFmtId="49" fontId="8" fillId="0" borderId="0" xfId="1" applyNumberFormat="1" applyFont="1" applyAlignment="1">
      <alignment horizontal="left"/>
    </xf>
    <xf numFmtId="3" fontId="12" fillId="0" borderId="16" xfId="1" applyNumberFormat="1" applyFont="1" applyBorder="1" applyAlignment="1">
      <alignment horizontal="right" vertical="center"/>
    </xf>
    <xf numFmtId="3" fontId="12" fillId="0" borderId="14" xfId="1" applyNumberFormat="1" applyFont="1" applyBorder="1" applyAlignment="1">
      <alignment horizontal="right" vertical="center"/>
    </xf>
    <xf numFmtId="3" fontId="12" fillId="0" borderId="100" xfId="1" applyNumberFormat="1" applyFont="1" applyBorder="1" applyAlignment="1">
      <alignment horizontal="right" vertical="center" wrapText="1"/>
    </xf>
    <xf numFmtId="3" fontId="12" fillId="0" borderId="101" xfId="1" applyNumberFormat="1" applyFont="1" applyBorder="1" applyAlignment="1">
      <alignment horizontal="right" vertical="center" wrapText="1"/>
    </xf>
    <xf numFmtId="49" fontId="2" fillId="0" borderId="28" xfId="1" applyNumberFormat="1" applyFont="1" applyBorder="1" applyAlignment="1">
      <alignment horizontal="left" vertical="center" wrapText="1"/>
    </xf>
    <xf numFmtId="49" fontId="2" fillId="0" borderId="31" xfId="1" applyNumberFormat="1" applyFont="1" applyBorder="1" applyAlignment="1">
      <alignment horizontal="left" vertical="center" wrapText="1"/>
    </xf>
    <xf numFmtId="0" fontId="2" fillId="0" borderId="102" xfId="1" applyFont="1" applyBorder="1" applyAlignment="1">
      <alignment horizontal="right" vertical="center" wrapText="1"/>
    </xf>
    <xf numFmtId="49" fontId="2" fillId="0" borderId="103" xfId="1" applyNumberFormat="1" applyFont="1" applyBorder="1" applyAlignment="1">
      <alignment horizontal="right" vertical="center" wrapText="1"/>
    </xf>
    <xf numFmtId="49" fontId="1" fillId="0" borderId="15" xfId="1" applyNumberFormat="1" applyFont="1" applyBorder="1" applyAlignment="1">
      <alignment horizontal="left" vertical="center"/>
    </xf>
    <xf numFmtId="3" fontId="11" fillId="0" borderId="26" xfId="1" applyNumberFormat="1" applyFont="1" applyBorder="1" applyAlignment="1">
      <alignment horizontal="right" vertical="center"/>
    </xf>
    <xf numFmtId="3" fontId="1" fillId="0" borderId="0" xfId="1" applyNumberFormat="1" applyFont="1" applyAlignment="1"/>
    <xf numFmtId="3" fontId="11" fillId="0" borderId="26" xfId="1" applyNumberFormat="1" applyFont="1" applyBorder="1" applyAlignment="1">
      <alignment horizontal="right" vertical="center" wrapText="1"/>
    </xf>
    <xf numFmtId="49" fontId="2" fillId="0" borderId="2" xfId="1" applyNumberFormat="1" applyFont="1" applyBorder="1" applyAlignment="1">
      <alignment horizontal="left" vertical="center" wrapText="1"/>
    </xf>
    <xf numFmtId="49" fontId="1" fillId="0" borderId="2" xfId="1" applyNumberFormat="1" applyFont="1" applyBorder="1" applyAlignment="1">
      <alignment horizontal="left" vertical="center" wrapText="1"/>
    </xf>
    <xf numFmtId="49" fontId="1" fillId="0" borderId="2" xfId="1" applyNumberFormat="1" applyFont="1" applyBorder="1" applyAlignment="1">
      <alignment horizontal="left" vertical="center"/>
    </xf>
    <xf numFmtId="3" fontId="2" fillId="6" borderId="0" xfId="1" applyNumberFormat="1" applyFont="1" applyFill="1" applyBorder="1" applyAlignment="1">
      <alignment horizontal="center" vertical="top" wrapText="1"/>
    </xf>
    <xf numFmtId="3" fontId="1" fillId="0" borderId="0" xfId="2" applyNumberFormat="1" applyAlignment="1">
      <alignment horizontal="justify" vertical="justify"/>
    </xf>
    <xf numFmtId="3" fontId="11" fillId="0" borderId="0" xfId="2" applyNumberFormat="1" applyFont="1" applyAlignment="1">
      <alignment vertical="top" wrapText="1"/>
    </xf>
    <xf numFmtId="3" fontId="10" fillId="6" borderId="105" xfId="1" applyNumberFormat="1" applyFont="1" applyFill="1" applyBorder="1" applyAlignment="1">
      <alignment horizontal="center"/>
    </xf>
    <xf numFmtId="0" fontId="1" fillId="0" borderId="43" xfId="1" applyBorder="1"/>
    <xf numFmtId="3" fontId="1" fillId="0" borderId="73" xfId="1" applyNumberFormat="1" applyBorder="1"/>
    <xf numFmtId="3" fontId="1" fillId="0" borderId="73" xfId="1" applyNumberFormat="1" applyFont="1" applyBorder="1"/>
    <xf numFmtId="3" fontId="11" fillId="0" borderId="107" xfId="2" applyNumberFormat="1" applyFont="1" applyBorder="1"/>
    <xf numFmtId="3" fontId="11" fillId="0" borderId="108" xfId="2" applyNumberFormat="1" applyFont="1" applyBorder="1"/>
    <xf numFmtId="3" fontId="10" fillId="6" borderId="104" xfId="1" applyNumberFormat="1" applyFont="1" applyFill="1" applyBorder="1" applyAlignment="1">
      <alignment horizontal="center" wrapText="1"/>
    </xf>
    <xf numFmtId="10" fontId="7" fillId="0" borderId="106" xfId="1" applyNumberFormat="1" applyFont="1" applyBorder="1"/>
    <xf numFmtId="10" fontId="1" fillId="0" borderId="43" xfId="1" applyNumberFormat="1" applyBorder="1"/>
    <xf numFmtId="10" fontId="11" fillId="0" borderId="43" xfId="1" applyNumberFormat="1" applyFont="1" applyBorder="1"/>
    <xf numFmtId="10" fontId="7" fillId="0" borderId="43" xfId="1" applyNumberFormat="1" applyFont="1" applyBorder="1"/>
    <xf numFmtId="3" fontId="23" fillId="0" borderId="43" xfId="1" applyNumberFormat="1" applyFont="1" applyBorder="1"/>
    <xf numFmtId="3" fontId="11" fillId="0" borderId="14" xfId="0" applyNumberFormat="1" applyFont="1" applyBorder="1" applyAlignment="1">
      <alignment horizontal="right" vertical="center" shrinkToFit="1"/>
    </xf>
    <xf numFmtId="3" fontId="12" fillId="0" borderId="16" xfId="1" applyNumberFormat="1" applyFont="1" applyFill="1" applyBorder="1" applyAlignment="1">
      <alignment horizontal="right" vertical="center" wrapText="1"/>
    </xf>
    <xf numFmtId="3" fontId="11" fillId="0" borderId="27" xfId="1" applyNumberFormat="1" applyFont="1" applyFill="1" applyBorder="1" applyAlignment="1">
      <alignment horizontal="right" vertical="center" wrapText="1"/>
    </xf>
    <xf numFmtId="3" fontId="11" fillId="0" borderId="39" xfId="2" applyNumberFormat="1" applyFont="1" applyBorder="1"/>
    <xf numFmtId="3" fontId="37" fillId="0" borderId="65" xfId="2" applyNumberFormat="1" applyFont="1" applyFill="1" applyBorder="1"/>
    <xf numFmtId="3" fontId="1" fillId="0" borderId="39" xfId="2" applyNumberFormat="1" applyFill="1" applyBorder="1" applyProtection="1">
      <protection locked="0"/>
    </xf>
    <xf numFmtId="0" fontId="1" fillId="0" borderId="109" xfId="1" applyBorder="1"/>
    <xf numFmtId="0" fontId="1" fillId="0" borderId="109" xfId="1" applyFill="1" applyBorder="1"/>
    <xf numFmtId="0" fontId="1" fillId="6" borderId="109" xfId="1" applyFill="1" applyBorder="1"/>
    <xf numFmtId="0" fontId="1" fillId="6" borderId="110" xfId="1" applyFill="1" applyBorder="1"/>
    <xf numFmtId="0" fontId="1" fillId="6" borderId="111" xfId="1" applyFill="1" applyBorder="1"/>
    <xf numFmtId="0" fontId="1" fillId="6" borderId="112" xfId="1" applyFill="1" applyBorder="1" applyAlignment="1">
      <alignment horizontal="center"/>
    </xf>
    <xf numFmtId="0" fontId="0" fillId="0" borderId="109" xfId="0" applyBorder="1"/>
    <xf numFmtId="3" fontId="0" fillId="0" borderId="109" xfId="0" applyNumberFormat="1" applyBorder="1" applyAlignment="1"/>
    <xf numFmtId="0" fontId="0" fillId="6" borderId="109" xfId="0" applyFill="1" applyBorder="1"/>
    <xf numFmtId="0" fontId="0" fillId="6" borderId="110" xfId="0" applyFill="1" applyBorder="1"/>
    <xf numFmtId="0" fontId="0" fillId="6" borderId="111" xfId="0" applyFill="1" applyBorder="1"/>
    <xf numFmtId="0" fontId="1" fillId="6" borderId="113" xfId="1" applyFill="1" applyBorder="1"/>
    <xf numFmtId="0" fontId="1" fillId="6" borderId="6" xfId="1" applyFill="1" applyBorder="1"/>
    <xf numFmtId="0" fontId="1" fillId="6" borderId="114" xfId="1" applyFill="1" applyBorder="1"/>
    <xf numFmtId="0" fontId="1" fillId="0" borderId="6" xfId="1" applyBorder="1"/>
    <xf numFmtId="0" fontId="1" fillId="0" borderId="114" xfId="1" applyBorder="1"/>
    <xf numFmtId="0" fontId="0" fillId="6" borderId="115" xfId="0" applyFill="1" applyBorder="1"/>
    <xf numFmtId="0" fontId="0" fillId="0" borderId="115" xfId="0" applyBorder="1"/>
    <xf numFmtId="3" fontId="2" fillId="6" borderId="43" xfId="0" applyNumberFormat="1" applyFont="1" applyFill="1" applyBorder="1" applyAlignment="1">
      <alignment horizontal="center" vertical="center" wrapText="1"/>
    </xf>
    <xf numFmtId="3" fontId="9" fillId="6" borderId="62" xfId="0" applyNumberFormat="1" applyFont="1" applyFill="1" applyBorder="1" applyAlignment="1">
      <alignment horizontal="center" vertical="top" wrapText="1"/>
    </xf>
    <xf numFmtId="3" fontId="10" fillId="6" borderId="37" xfId="0" applyNumberFormat="1" applyFont="1" applyFill="1" applyBorder="1" applyAlignment="1">
      <alignment horizontal="center"/>
    </xf>
    <xf numFmtId="3" fontId="11" fillId="0" borderId="75" xfId="0" applyNumberFormat="1" applyFont="1" applyBorder="1" applyAlignment="1">
      <alignment horizontal="right" vertical="center"/>
    </xf>
    <xf numFmtId="3" fontId="12" fillId="0" borderId="85" xfId="0" applyNumberFormat="1" applyFont="1" applyBorder="1" applyAlignment="1">
      <alignment horizontal="right" vertical="center"/>
    </xf>
    <xf numFmtId="0" fontId="8" fillId="0" borderId="0" xfId="0" applyFont="1"/>
    <xf numFmtId="49" fontId="11" fillId="0" borderId="35" xfId="1" applyNumberFormat="1" applyFont="1" applyBorder="1" applyAlignment="1">
      <alignment horizontal="left" indent="3"/>
    </xf>
    <xf numFmtId="49" fontId="1" fillId="0" borderId="80" xfId="1" applyNumberFormat="1" applyFont="1" applyFill="1" applyBorder="1" applyAlignment="1">
      <alignment horizontal="right" vertical="center"/>
    </xf>
    <xf numFmtId="3" fontId="11" fillId="0" borderId="80" xfId="1" applyNumberFormat="1" applyFont="1" applyFill="1" applyBorder="1" applyAlignment="1">
      <alignment horizontal="right" vertical="center"/>
    </xf>
    <xf numFmtId="3" fontId="11" fillId="0" borderId="75" xfId="1" applyNumberFormat="1" applyFont="1" applyFill="1" applyBorder="1" applyAlignment="1">
      <alignment horizontal="right" vertical="center"/>
    </xf>
    <xf numFmtId="4" fontId="1" fillId="0" borderId="0" xfId="1" applyNumberFormat="1" applyFill="1" applyBorder="1" applyAlignment="1"/>
    <xf numFmtId="3" fontId="1" fillId="0" borderId="0" xfId="1" applyNumberFormat="1" applyFill="1" applyBorder="1"/>
    <xf numFmtId="0" fontId="1" fillId="0" borderId="6" xfId="1" applyFill="1" applyBorder="1"/>
    <xf numFmtId="3" fontId="7" fillId="0" borderId="0" xfId="1" applyNumberFormat="1" applyFont="1"/>
    <xf numFmtId="0" fontId="2" fillId="0" borderId="0" xfId="1" applyFont="1" applyFill="1"/>
    <xf numFmtId="3" fontId="22" fillId="0" borderId="98" xfId="1" applyNumberFormat="1" applyFont="1" applyBorder="1"/>
    <xf numFmtId="3" fontId="22" fillId="0" borderId="99" xfId="1" applyNumberFormat="1" applyFont="1" applyBorder="1"/>
    <xf numFmtId="49" fontId="12" fillId="6" borderId="54" xfId="1" applyNumberFormat="1" applyFont="1" applyFill="1" applyBorder="1"/>
    <xf numFmtId="3" fontId="12" fillId="6" borderId="73" xfId="1" applyNumberFormat="1" applyFont="1" applyFill="1" applyBorder="1"/>
    <xf numFmtId="3" fontId="12" fillId="6" borderId="39" xfId="1" applyNumberFormat="1" applyFont="1" applyFill="1" applyBorder="1"/>
    <xf numFmtId="3" fontId="1" fillId="0" borderId="0" xfId="1" applyNumberFormat="1" applyFont="1" applyAlignment="1">
      <alignment horizontal="right" vertical="top"/>
    </xf>
    <xf numFmtId="3" fontId="10" fillId="6" borderId="10" xfId="1" applyNumberFormat="1" applyFont="1" applyFill="1" applyBorder="1" applyAlignment="1">
      <alignment horizontal="center" vertical="top"/>
    </xf>
    <xf numFmtId="3" fontId="2" fillId="6" borderId="15" xfId="1" applyNumberFormat="1" applyFont="1" applyFill="1" applyBorder="1" applyAlignment="1">
      <alignment horizontal="center" vertical="top"/>
    </xf>
    <xf numFmtId="3" fontId="1" fillId="0" borderId="0" xfId="1" applyNumberFormat="1" applyAlignment="1">
      <alignment vertical="top"/>
    </xf>
    <xf numFmtId="3" fontId="12" fillId="0" borderId="21" xfId="1" applyNumberFormat="1" applyFont="1" applyFill="1" applyBorder="1" applyAlignment="1">
      <alignment horizontal="center" vertical="center"/>
    </xf>
    <xf numFmtId="3" fontId="12" fillId="0" borderId="17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49" fontId="2" fillId="6" borderId="3" xfId="1" applyNumberFormat="1" applyFont="1" applyFill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left" vertical="center" wrapText="1"/>
    </xf>
    <xf numFmtId="49" fontId="2" fillId="6" borderId="3" xfId="1" applyNumberFormat="1" applyFont="1" applyFill="1" applyBorder="1" applyAlignment="1">
      <alignment horizontal="center" vertical="center" wrapText="1"/>
    </xf>
    <xf numFmtId="3" fontId="2" fillId="6" borderId="17" xfId="1" applyNumberFormat="1" applyFont="1" applyFill="1" applyBorder="1" applyAlignment="1">
      <alignment horizontal="center"/>
    </xf>
    <xf numFmtId="3" fontId="12" fillId="0" borderId="14" xfId="1" applyNumberFormat="1" applyFont="1" applyFill="1" applyBorder="1" applyAlignment="1">
      <alignment horizontal="right" vertical="center"/>
    </xf>
    <xf numFmtId="3" fontId="2" fillId="6" borderId="17" xfId="1" applyNumberFormat="1" applyFont="1" applyFill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3" fontId="2" fillId="6" borderId="78" xfId="0" applyNumberFormat="1" applyFont="1" applyFill="1" applyBorder="1" applyAlignment="1">
      <alignment horizontal="center"/>
    </xf>
    <xf numFmtId="3" fontId="2" fillId="6" borderId="33" xfId="1" applyNumberFormat="1" applyFont="1" applyFill="1" applyBorder="1" applyAlignment="1">
      <alignment horizontal="center"/>
    </xf>
    <xf numFmtId="49" fontId="2" fillId="6" borderId="35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left" vertical="center" wrapText="1"/>
    </xf>
    <xf numFmtId="3" fontId="7" fillId="0" borderId="88" xfId="1" applyNumberFormat="1" applyFont="1" applyBorder="1"/>
    <xf numFmtId="10" fontId="7" fillId="0" borderId="52" xfId="1" applyNumberFormat="1" applyFont="1" applyBorder="1"/>
    <xf numFmtId="0" fontId="12" fillId="6" borderId="53" xfId="1" applyFont="1" applyFill="1" applyBorder="1" applyAlignment="1">
      <alignment horizontal="center"/>
    </xf>
    <xf numFmtId="0" fontId="12" fillId="6" borderId="42" xfId="1" applyFont="1" applyFill="1" applyBorder="1" applyAlignment="1">
      <alignment horizontal="center"/>
    </xf>
    <xf numFmtId="10" fontId="1" fillId="0" borderId="39" xfId="1" applyNumberFormat="1" applyFont="1" applyBorder="1"/>
    <xf numFmtId="0" fontId="2" fillId="6" borderId="35" xfId="1" applyFont="1" applyFill="1" applyBorder="1" applyAlignment="1">
      <alignment horizontal="center"/>
    </xf>
    <xf numFmtId="0" fontId="2" fillId="6" borderId="39" xfId="1" applyFont="1" applyFill="1" applyBorder="1" applyAlignment="1">
      <alignment horizontal="center"/>
    </xf>
    <xf numFmtId="3" fontId="10" fillId="6" borderId="35" xfId="1" applyNumberFormat="1" applyFont="1" applyFill="1" applyBorder="1" applyAlignment="1">
      <alignment horizontal="center" wrapText="1"/>
    </xf>
    <xf numFmtId="3" fontId="10" fillId="6" borderId="39" xfId="1" applyNumberFormat="1" applyFont="1" applyFill="1" applyBorder="1" applyAlignment="1">
      <alignment horizontal="center" wrapText="1"/>
    </xf>
    <xf numFmtId="3" fontId="10" fillId="6" borderId="119" xfId="1" applyNumberFormat="1" applyFont="1" applyFill="1" applyBorder="1" applyAlignment="1">
      <alignment horizontal="center"/>
    </xf>
    <xf numFmtId="49" fontId="2" fillId="6" borderId="120" xfId="0" applyNumberFormat="1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/>
    </xf>
    <xf numFmtId="49" fontId="1" fillId="0" borderId="80" xfId="0" applyNumberFormat="1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49" fontId="1" fillId="0" borderId="80" xfId="1" applyNumberFormat="1" applyFont="1" applyBorder="1" applyAlignment="1">
      <alignment horizontal="left" vertical="center" wrapText="1"/>
    </xf>
    <xf numFmtId="49" fontId="1" fillId="0" borderId="80" xfId="1" applyNumberFormat="1" applyFont="1" applyFill="1" applyBorder="1" applyAlignment="1">
      <alignment horizontal="left" vertical="center" wrapText="1"/>
    </xf>
    <xf numFmtId="0" fontId="12" fillId="0" borderId="49" xfId="1" applyFont="1" applyBorder="1" applyAlignment="1">
      <alignment horizontal="left" vertical="center" wrapText="1"/>
    </xf>
    <xf numFmtId="0" fontId="12" fillId="6" borderId="32" xfId="1" applyFont="1" applyFill="1" applyBorder="1" applyAlignment="1">
      <alignment horizontal="center"/>
    </xf>
    <xf numFmtId="10" fontId="7" fillId="0" borderId="95" xfId="1" applyNumberFormat="1" applyFont="1" applyBorder="1"/>
    <xf numFmtId="3" fontId="10" fillId="6" borderId="122" xfId="1" applyNumberFormat="1" applyFont="1" applyFill="1" applyBorder="1" applyAlignment="1">
      <alignment horizontal="center"/>
    </xf>
    <xf numFmtId="3" fontId="12" fillId="0" borderId="26" xfId="1" applyNumberFormat="1" applyFont="1" applyBorder="1"/>
    <xf numFmtId="3" fontId="22" fillId="0" borderId="5" xfId="1" applyNumberFormat="1" applyFont="1" applyBorder="1"/>
    <xf numFmtId="3" fontId="11" fillId="0" borderId="12" xfId="1" applyNumberFormat="1" applyFont="1" applyBorder="1"/>
    <xf numFmtId="3" fontId="7" fillId="0" borderId="123" xfId="1" applyNumberFormat="1" applyFont="1" applyBorder="1"/>
    <xf numFmtId="3" fontId="10" fillId="6" borderId="118" xfId="1" applyNumberFormat="1" applyFont="1" applyFill="1" applyBorder="1" applyAlignment="1">
      <alignment horizontal="center"/>
    </xf>
    <xf numFmtId="3" fontId="12" fillId="0" borderId="70" xfId="1" applyNumberFormat="1" applyFont="1" applyBorder="1"/>
    <xf numFmtId="3" fontId="22" fillId="0" borderId="54" xfId="1" applyNumberFormat="1" applyFont="1" applyBorder="1"/>
    <xf numFmtId="3" fontId="11" fillId="0" borderId="54" xfId="1" applyNumberFormat="1" applyFont="1" applyBorder="1"/>
    <xf numFmtId="3" fontId="22" fillId="0" borderId="69" xfId="1" applyNumberFormat="1" applyFont="1" applyBorder="1"/>
    <xf numFmtId="3" fontId="12" fillId="0" borderId="54" xfId="1" applyNumberFormat="1" applyFont="1" applyBorder="1"/>
    <xf numFmtId="3" fontId="11" fillId="0" borderId="69" xfId="1" applyNumberFormat="1" applyFont="1" applyBorder="1"/>
    <xf numFmtId="3" fontId="7" fillId="0" borderId="94" xfId="1" applyNumberFormat="1" applyFont="1" applyFill="1" applyBorder="1"/>
    <xf numFmtId="3" fontId="7" fillId="0" borderId="93" xfId="1" applyNumberFormat="1" applyFont="1" applyBorder="1"/>
    <xf numFmtId="10" fontId="1" fillId="0" borderId="43" xfId="1" applyNumberFormat="1" applyFont="1" applyBorder="1"/>
    <xf numFmtId="3" fontId="1" fillId="0" borderId="71" xfId="1" applyNumberFormat="1" applyFont="1" applyBorder="1"/>
    <xf numFmtId="10" fontId="1" fillId="0" borderId="105" xfId="1" applyNumberFormat="1" applyFont="1" applyBorder="1"/>
    <xf numFmtId="10" fontId="12" fillId="0" borderId="106" xfId="1" applyNumberFormat="1" applyFont="1" applyBorder="1"/>
    <xf numFmtId="3" fontId="12" fillId="0" borderId="73" xfId="1" applyNumberFormat="1" applyFont="1" applyBorder="1"/>
    <xf numFmtId="10" fontId="12" fillId="0" borderId="43" xfId="1" applyNumberFormat="1" applyFont="1" applyBorder="1"/>
    <xf numFmtId="3" fontId="7" fillId="0" borderId="96" xfId="1" applyNumberFormat="1" applyFont="1" applyBorder="1"/>
    <xf numFmtId="10" fontId="7" fillId="0" borderId="85" xfId="1" applyNumberFormat="1" applyFont="1" applyBorder="1"/>
    <xf numFmtId="10" fontId="7" fillId="0" borderId="121" xfId="1" applyNumberFormat="1" applyFont="1" applyBorder="1"/>
    <xf numFmtId="10" fontId="22" fillId="0" borderId="43" xfId="1" applyNumberFormat="1" applyFont="1" applyBorder="1"/>
    <xf numFmtId="3" fontId="43" fillId="0" borderId="71" xfId="1" applyNumberFormat="1" applyFont="1" applyBorder="1"/>
    <xf numFmtId="10" fontId="43" fillId="0" borderId="105" xfId="1" applyNumberFormat="1" applyFont="1" applyBorder="1"/>
    <xf numFmtId="10" fontId="22" fillId="0" borderId="105" xfId="1" applyNumberFormat="1" applyFont="1" applyBorder="1"/>
    <xf numFmtId="3" fontId="43" fillId="0" borderId="73" xfId="1" applyNumberFormat="1" applyFont="1" applyBorder="1"/>
    <xf numFmtId="10" fontId="43" fillId="0" borderId="43" xfId="1" applyNumberFormat="1" applyFont="1" applyBorder="1"/>
    <xf numFmtId="3" fontId="24" fillId="0" borderId="73" xfId="1" applyNumberFormat="1" applyFont="1" applyBorder="1"/>
    <xf numFmtId="10" fontId="24" fillId="0" borderId="43" xfId="1" applyNumberFormat="1" applyFont="1" applyBorder="1"/>
    <xf numFmtId="10" fontId="12" fillId="6" borderId="43" xfId="1" applyNumberFormat="1" applyFont="1" applyFill="1" applyBorder="1"/>
    <xf numFmtId="3" fontId="2" fillId="6" borderId="73" xfId="1" applyNumberFormat="1" applyFont="1" applyFill="1" applyBorder="1"/>
    <xf numFmtId="10" fontId="2" fillId="6" borderId="43" xfId="1" applyNumberFormat="1" applyFont="1" applyFill="1" applyBorder="1"/>
    <xf numFmtId="0" fontId="12" fillId="6" borderId="98" xfId="1" applyFont="1" applyFill="1" applyBorder="1" applyAlignment="1">
      <alignment horizontal="center"/>
    </xf>
    <xf numFmtId="10" fontId="7" fillId="0" borderId="37" xfId="1" applyNumberFormat="1" applyFont="1" applyBorder="1"/>
    <xf numFmtId="0" fontId="12" fillId="6" borderId="86" xfId="1" applyFont="1" applyFill="1" applyBorder="1" applyAlignment="1">
      <alignment horizontal="center"/>
    </xf>
    <xf numFmtId="0" fontId="12" fillId="6" borderId="87" xfId="1" applyFont="1" applyFill="1" applyBorder="1" applyAlignment="1">
      <alignment horizontal="center"/>
    </xf>
    <xf numFmtId="3" fontId="2" fillId="6" borderId="63" xfId="1" applyNumberFormat="1" applyFont="1" applyFill="1" applyBorder="1" applyAlignment="1">
      <alignment horizontal="center" vertical="center" wrapText="1"/>
    </xf>
    <xf numFmtId="3" fontId="2" fillId="6" borderId="64" xfId="1" applyNumberFormat="1" applyFont="1" applyFill="1" applyBorder="1" applyAlignment="1">
      <alignment horizontal="center" vertical="center" wrapText="1"/>
    </xf>
    <xf numFmtId="3" fontId="2" fillId="6" borderId="62" xfId="1" applyNumberFormat="1" applyFont="1" applyFill="1" applyBorder="1" applyAlignment="1">
      <alignment horizontal="center" vertical="center" wrapText="1"/>
    </xf>
    <xf numFmtId="3" fontId="2" fillId="6" borderId="36" xfId="1" applyNumberFormat="1" applyFont="1" applyFill="1" applyBorder="1" applyAlignment="1">
      <alignment horizontal="center" vertical="center" wrapText="1"/>
    </xf>
    <xf numFmtId="3" fontId="2" fillId="6" borderId="54" xfId="1" applyNumberFormat="1" applyFont="1" applyFill="1" applyBorder="1" applyAlignment="1">
      <alignment horizontal="center" vertical="center" wrapText="1"/>
    </xf>
    <xf numFmtId="3" fontId="2" fillId="6" borderId="68" xfId="1" applyNumberFormat="1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justify" vertical="justify"/>
    </xf>
    <xf numFmtId="0" fontId="7" fillId="0" borderId="0" xfId="2" applyFont="1" applyAlignment="1">
      <alignment horizontal="justify" vertical="justify"/>
    </xf>
    <xf numFmtId="0" fontId="12" fillId="6" borderId="33" xfId="1" applyFont="1" applyFill="1" applyBorder="1" applyAlignment="1">
      <alignment horizontal="center"/>
    </xf>
    <xf numFmtId="0" fontId="12" fillId="6" borderId="34" xfId="1" applyFont="1" applyFill="1" applyBorder="1" applyAlignment="1">
      <alignment horizontal="center"/>
    </xf>
    <xf numFmtId="0" fontId="0" fillId="0" borderId="51" xfId="0" applyBorder="1" applyAlignment="1">
      <alignment horizontal="right" shrinkToFit="1"/>
    </xf>
    <xf numFmtId="49" fontId="2" fillId="6" borderId="54" xfId="1" applyNumberFormat="1" applyFont="1" applyFill="1" applyBorder="1" applyAlignment="1">
      <alignment horizontal="left" vertical="center"/>
    </xf>
    <xf numFmtId="49" fontId="2" fillId="6" borderId="68" xfId="1" applyNumberFormat="1" applyFont="1" applyFill="1" applyBorder="1" applyAlignment="1">
      <alignment horizontal="left" vertical="center"/>
    </xf>
    <xf numFmtId="3" fontId="2" fillId="6" borderId="7" xfId="1" applyNumberFormat="1" applyFont="1" applyFill="1" applyBorder="1" applyAlignment="1">
      <alignment horizontal="center" vertical="center" wrapText="1"/>
    </xf>
    <xf numFmtId="3" fontId="2" fillId="6" borderId="23" xfId="1" applyNumberFormat="1" applyFont="1" applyFill="1" applyBorder="1" applyAlignment="1">
      <alignment horizontal="center" vertical="center" wrapText="1"/>
    </xf>
    <xf numFmtId="0" fontId="12" fillId="6" borderId="91" xfId="1" applyFont="1" applyFill="1" applyBorder="1" applyAlignment="1">
      <alignment horizontal="center"/>
    </xf>
    <xf numFmtId="0" fontId="1" fillId="0" borderId="0" xfId="1" applyAlignment="1">
      <alignment horizontal="right"/>
    </xf>
    <xf numFmtId="0" fontId="1" fillId="0" borderId="0" xfId="2" applyFont="1" applyAlignment="1">
      <alignment horizontal="right" shrinkToFit="1"/>
    </xf>
    <xf numFmtId="0" fontId="1" fillId="0" borderId="0" xfId="2" applyAlignment="1">
      <alignment horizontal="right" shrinkToFit="1"/>
    </xf>
    <xf numFmtId="0" fontId="1" fillId="0" borderId="0" xfId="2" applyBorder="1" applyAlignment="1">
      <alignment horizontal="right" shrinkToFit="1"/>
    </xf>
    <xf numFmtId="0" fontId="12" fillId="6" borderId="45" xfId="1" applyFont="1" applyFill="1" applyBorder="1" applyAlignment="1">
      <alignment horizontal="center"/>
    </xf>
    <xf numFmtId="49" fontId="2" fillId="6" borderId="35" xfId="1" applyNumberFormat="1" applyFont="1" applyFill="1" applyBorder="1" applyAlignment="1">
      <alignment horizontal="left" vertical="center"/>
    </xf>
    <xf numFmtId="49" fontId="2" fillId="6" borderId="47" xfId="1" applyNumberFormat="1" applyFont="1" applyFill="1" applyBorder="1" applyAlignment="1">
      <alignment horizontal="left" vertical="center"/>
    </xf>
    <xf numFmtId="3" fontId="2" fillId="6" borderId="39" xfId="1" applyNumberFormat="1" applyFont="1" applyFill="1" applyBorder="1" applyAlignment="1">
      <alignment horizontal="center" vertical="center" wrapText="1"/>
    </xf>
    <xf numFmtId="49" fontId="12" fillId="0" borderId="15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3" fontId="2" fillId="6" borderId="28" xfId="1" applyNumberFormat="1" applyFont="1" applyFill="1" applyBorder="1" applyAlignment="1">
      <alignment horizontal="center"/>
    </xf>
    <xf numFmtId="3" fontId="2" fillId="6" borderId="18" xfId="1" applyNumberFormat="1" applyFont="1" applyFill="1" applyBorder="1" applyAlignment="1">
      <alignment horizontal="center"/>
    </xf>
    <xf numFmtId="3" fontId="2" fillId="6" borderId="19" xfId="1" applyNumberFormat="1" applyFont="1" applyFill="1" applyBorder="1" applyAlignment="1">
      <alignment horizontal="center"/>
    </xf>
    <xf numFmtId="49" fontId="2" fillId="6" borderId="3" xfId="1" applyNumberFormat="1" applyFont="1" applyFill="1" applyBorder="1" applyAlignment="1">
      <alignment horizontal="center" vertical="center" wrapText="1"/>
    </xf>
    <xf numFmtId="49" fontId="2" fillId="6" borderId="6" xfId="1" applyNumberFormat="1" applyFont="1" applyFill="1" applyBorder="1" applyAlignment="1">
      <alignment horizontal="center" vertical="center" wrapText="1"/>
    </xf>
    <xf numFmtId="3" fontId="2" fillId="6" borderId="14" xfId="1" applyNumberFormat="1" applyFont="1" applyFill="1" applyBorder="1" applyAlignment="1">
      <alignment horizontal="center"/>
    </xf>
    <xf numFmtId="3" fontId="2" fillId="6" borderId="17" xfId="1" applyNumberFormat="1" applyFont="1" applyFill="1" applyBorder="1" applyAlignment="1">
      <alignment horizontal="center"/>
    </xf>
    <xf numFmtId="3" fontId="2" fillId="6" borderId="20" xfId="1" applyNumberFormat="1" applyFont="1" applyFill="1" applyBorder="1" applyAlignment="1">
      <alignment horizontal="center"/>
    </xf>
    <xf numFmtId="3" fontId="2" fillId="6" borderId="116" xfId="1" applyNumberFormat="1" applyFont="1" applyFill="1" applyBorder="1" applyAlignment="1">
      <alignment horizontal="center" vertical="center" wrapText="1"/>
    </xf>
    <xf numFmtId="3" fontId="2" fillId="6" borderId="117" xfId="1" applyNumberFormat="1" applyFont="1" applyFill="1" applyBorder="1" applyAlignment="1">
      <alignment horizontal="center" vertical="center" wrapText="1"/>
    </xf>
    <xf numFmtId="3" fontId="3" fillId="0" borderId="0" xfId="1" applyNumberFormat="1" applyFont="1" applyAlignment="1">
      <alignment horizontal="right" shrinkToFit="1"/>
    </xf>
    <xf numFmtId="0" fontId="0" fillId="0" borderId="0" xfId="0" applyAlignment="1">
      <alignment horizontal="right" shrinkToFit="1"/>
    </xf>
    <xf numFmtId="3" fontId="1" fillId="0" borderId="24" xfId="1" applyNumberFormat="1" applyFont="1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11" fillId="0" borderId="0" xfId="0" applyFont="1" applyAlignment="1" applyProtection="1">
      <alignment horizontal="justify" wrapText="1"/>
      <protection locked="0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shrinkToFit="1"/>
    </xf>
    <xf numFmtId="0" fontId="7" fillId="0" borderId="0" xfId="0" applyFont="1" applyFill="1" applyAlignment="1">
      <alignment horizontal="justify" vertical="justify"/>
    </xf>
    <xf numFmtId="0" fontId="7" fillId="0" borderId="0" xfId="0" applyFont="1" applyAlignment="1">
      <alignment horizontal="justify" vertical="justify"/>
    </xf>
    <xf numFmtId="49" fontId="12" fillId="0" borderId="15" xfId="1" applyNumberFormat="1" applyFont="1" applyFill="1" applyBorder="1" applyAlignment="1">
      <alignment horizontal="center" vertical="center" wrapText="1"/>
    </xf>
    <xf numFmtId="0" fontId="1" fillId="0" borderId="17" xfId="1" applyFill="1" applyBorder="1" applyAlignment="1">
      <alignment horizontal="center" vertical="center" wrapText="1"/>
    </xf>
    <xf numFmtId="3" fontId="2" fillId="6" borderId="28" xfId="0" applyNumberFormat="1" applyFont="1" applyFill="1" applyBorder="1" applyAlignment="1">
      <alignment horizontal="center"/>
    </xf>
    <xf numFmtId="3" fontId="2" fillId="6" borderId="18" xfId="0" applyNumberFormat="1" applyFont="1" applyFill="1" applyBorder="1" applyAlignment="1">
      <alignment horizontal="center"/>
    </xf>
    <xf numFmtId="3" fontId="2" fillId="0" borderId="14" xfId="1" applyNumberFormat="1" applyFont="1" applyBorder="1" applyAlignment="1">
      <alignment horizontal="center"/>
    </xf>
    <xf numFmtId="3" fontId="2" fillId="0" borderId="17" xfId="1" applyNumberFormat="1" applyFont="1" applyBorder="1" applyAlignment="1">
      <alignment horizontal="center"/>
    </xf>
    <xf numFmtId="3" fontId="2" fillId="0" borderId="20" xfId="1" applyNumberFormat="1" applyFont="1" applyBorder="1" applyAlignment="1">
      <alignment horizontal="center"/>
    </xf>
    <xf numFmtId="3" fontId="2" fillId="0" borderId="28" xfId="1" applyNumberFormat="1" applyFont="1" applyBorder="1" applyAlignment="1">
      <alignment horizontal="center"/>
    </xf>
    <xf numFmtId="3" fontId="2" fillId="0" borderId="18" xfId="1" applyNumberFormat="1" applyFont="1" applyBorder="1" applyAlignment="1">
      <alignment horizontal="center"/>
    </xf>
    <xf numFmtId="3" fontId="2" fillId="0" borderId="19" xfId="1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2" fillId="0" borderId="0" xfId="0" applyFont="1" applyAlignment="1">
      <alignment vertical="justify" wrapText="1"/>
    </xf>
    <xf numFmtId="0" fontId="12" fillId="6" borderId="32" xfId="1" applyFont="1" applyFill="1" applyBorder="1" applyAlignment="1">
      <alignment horizontal="center"/>
    </xf>
    <xf numFmtId="0" fontId="12" fillId="6" borderId="42" xfId="1" applyFont="1" applyFill="1" applyBorder="1" applyAlignment="1">
      <alignment horizontal="center"/>
    </xf>
    <xf numFmtId="3" fontId="2" fillId="6" borderId="77" xfId="0" applyNumberFormat="1" applyFont="1" applyFill="1" applyBorder="1" applyAlignment="1">
      <alignment horizontal="center"/>
    </xf>
    <xf numFmtId="3" fontId="2" fillId="6" borderId="33" xfId="0" applyNumberFormat="1" applyFont="1" applyFill="1" applyBorder="1" applyAlignment="1">
      <alignment horizontal="center"/>
    </xf>
    <xf numFmtId="3" fontId="2" fillId="6" borderId="34" xfId="0" applyNumberFormat="1" applyFont="1" applyFill="1" applyBorder="1" applyAlignment="1">
      <alignment horizontal="center"/>
    </xf>
    <xf numFmtId="3" fontId="2" fillId="6" borderId="14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3" fontId="2" fillId="6" borderId="81" xfId="0" applyNumberFormat="1" applyFont="1" applyFill="1" applyBorder="1" applyAlignment="1">
      <alignment horizontal="center"/>
    </xf>
    <xf numFmtId="49" fontId="12" fillId="0" borderId="49" xfId="0" applyNumberFormat="1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3" fontId="2" fillId="6" borderId="78" xfId="0" applyNumberFormat="1" applyFont="1" applyFill="1" applyBorder="1" applyAlignment="1">
      <alignment horizontal="center"/>
    </xf>
    <xf numFmtId="49" fontId="2" fillId="6" borderId="35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wrapText="1"/>
    </xf>
    <xf numFmtId="3" fontId="2" fillId="6" borderId="20" xfId="0" applyNumberFormat="1" applyFont="1" applyFill="1" applyBorder="1" applyAlignment="1">
      <alignment horizontal="center"/>
    </xf>
    <xf numFmtId="4" fontId="34" fillId="4" borderId="0" xfId="0" applyNumberFormat="1" applyFont="1" applyFill="1" applyAlignment="1">
      <alignment shrinkToFit="1"/>
    </xf>
    <xf numFmtId="4" fontId="0" fillId="0" borderId="0" xfId="0" applyNumberFormat="1" applyAlignment="1">
      <alignment shrinkToFit="1"/>
    </xf>
    <xf numFmtId="49" fontId="12" fillId="0" borderId="15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49" fontId="2" fillId="6" borderId="3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right"/>
    </xf>
    <xf numFmtId="3" fontId="2" fillId="6" borderId="35" xfId="1" applyNumberFormat="1" applyFont="1" applyFill="1" applyBorder="1" applyAlignment="1">
      <alignment horizontal="center" vertical="center" wrapText="1"/>
    </xf>
    <xf numFmtId="3" fontId="2" fillId="6" borderId="47" xfId="1" applyNumberFormat="1" applyFont="1" applyFill="1" applyBorder="1" applyAlignment="1">
      <alignment horizontal="center" vertical="center" wrapText="1"/>
    </xf>
    <xf numFmtId="49" fontId="12" fillId="0" borderId="49" xfId="1" applyNumberFormat="1" applyFont="1" applyBorder="1" applyAlignment="1">
      <alignment horizontal="center" vertical="center" wrapText="1"/>
    </xf>
    <xf numFmtId="0" fontId="1" fillId="0" borderId="41" xfId="1" applyBorder="1" applyAlignment="1">
      <alignment horizontal="center" vertical="center" wrapText="1"/>
    </xf>
    <xf numFmtId="3" fontId="2" fillId="0" borderId="33" xfId="1" applyNumberFormat="1" applyFont="1" applyBorder="1" applyAlignment="1">
      <alignment horizontal="center"/>
    </xf>
    <xf numFmtId="49" fontId="2" fillId="6" borderId="35" xfId="1" applyNumberFormat="1" applyFont="1" applyFill="1" applyBorder="1" applyAlignment="1">
      <alignment horizontal="center" vertical="center" wrapText="1"/>
    </xf>
    <xf numFmtId="3" fontId="2" fillId="0" borderId="67" xfId="1" applyNumberFormat="1" applyFont="1" applyBorder="1" applyAlignment="1">
      <alignment horizontal="center" vertical="top" wrapText="1"/>
    </xf>
    <xf numFmtId="0" fontId="0" fillId="0" borderId="72" xfId="0" applyBorder="1" applyAlignment="1">
      <alignment horizontal="center" vertical="top" wrapText="1"/>
    </xf>
    <xf numFmtId="3" fontId="2" fillId="6" borderId="45" xfId="1" applyNumberFormat="1" applyFont="1" applyFill="1" applyBorder="1" applyAlignment="1">
      <alignment horizontal="center"/>
    </xf>
    <xf numFmtId="3" fontId="2" fillId="6" borderId="33" xfId="1" applyNumberFormat="1" applyFont="1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3" fontId="2" fillId="6" borderId="63" xfId="1" applyNumberFormat="1" applyFont="1" applyFill="1" applyBorder="1" applyAlignment="1">
      <alignment horizontal="center" vertical="top" wrapText="1"/>
    </xf>
    <xf numFmtId="0" fontId="0" fillId="6" borderId="73" xfId="0" applyFill="1" applyBorder="1" applyAlignment="1">
      <alignment horizontal="center" vertical="top" wrapText="1"/>
    </xf>
    <xf numFmtId="3" fontId="2" fillId="6" borderId="62" xfId="1" applyNumberFormat="1" applyFont="1" applyFill="1" applyBorder="1" applyAlignment="1">
      <alignment horizontal="center" vertical="top" wrapText="1"/>
    </xf>
    <xf numFmtId="0" fontId="0" fillId="6" borderId="39" xfId="0" applyFill="1" applyBorder="1" applyAlignment="1">
      <alignment horizontal="center" vertical="top" wrapText="1"/>
    </xf>
    <xf numFmtId="3" fontId="2" fillId="6" borderId="67" xfId="1" applyNumberFormat="1" applyFont="1" applyFill="1" applyBorder="1" applyAlignment="1">
      <alignment horizontal="center" vertical="top" wrapText="1"/>
    </xf>
    <xf numFmtId="0" fontId="0" fillId="6" borderId="72" xfId="0" applyFill="1" applyBorder="1" applyAlignment="1">
      <alignment horizontal="center" vertical="top" wrapText="1"/>
    </xf>
    <xf numFmtId="3" fontId="2" fillId="6" borderId="7" xfId="1" applyNumberFormat="1" applyFont="1" applyFill="1" applyBorder="1" applyAlignment="1">
      <alignment horizontal="center" vertical="top" wrapText="1"/>
    </xf>
    <xf numFmtId="0" fontId="0" fillId="6" borderId="5" xfId="0" applyFill="1" applyBorder="1" applyAlignment="1">
      <alignment horizontal="center" vertical="top" wrapText="1"/>
    </xf>
    <xf numFmtId="0" fontId="28" fillId="0" borderId="0" xfId="1" applyFont="1" applyAlignment="1">
      <alignment shrinkToFit="1"/>
    </xf>
    <xf numFmtId="0" fontId="28" fillId="0" borderId="0" xfId="0" applyFont="1" applyAlignment="1">
      <alignment shrinkToFit="1"/>
    </xf>
    <xf numFmtId="3" fontId="2" fillId="6" borderId="77" xfId="1" applyNumberFormat="1" applyFont="1" applyFill="1" applyBorder="1" applyAlignment="1">
      <alignment horizontal="center"/>
    </xf>
    <xf numFmtId="3" fontId="2" fillId="6" borderId="34" xfId="1" applyNumberFormat="1" applyFont="1" applyFill="1" applyBorder="1" applyAlignment="1">
      <alignment horizontal="center"/>
    </xf>
    <xf numFmtId="3" fontId="2" fillId="6" borderId="29" xfId="1" applyNumberFormat="1" applyFont="1" applyFill="1" applyBorder="1" applyAlignment="1">
      <alignment horizontal="center" vertical="top" wrapText="1"/>
    </xf>
    <xf numFmtId="0" fontId="0" fillId="6" borderId="30" xfId="0" applyFill="1" applyBorder="1" applyAlignment="1">
      <alignment horizontal="center" vertical="top" wrapText="1"/>
    </xf>
    <xf numFmtId="3" fontId="2" fillId="6" borderId="81" xfId="1" applyNumberFormat="1" applyFont="1" applyFill="1" applyBorder="1" applyAlignment="1">
      <alignment horizontal="center"/>
    </xf>
    <xf numFmtId="3" fontId="2" fillId="0" borderId="8" xfId="1" applyNumberFormat="1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" fillId="0" borderId="0" xfId="1" applyAlignment="1">
      <alignment shrinkToFit="1"/>
    </xf>
    <xf numFmtId="0" fontId="0" fillId="0" borderId="0" xfId="0" applyAlignment="1">
      <alignment shrinkToFit="1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9" fillId="0" borderId="0" xfId="0" applyFont="1" applyFill="1" applyBorder="1" applyAlignment="1">
      <alignment horizontal="justify" vertical="justify" wrapText="1"/>
    </xf>
  </cellXfs>
  <cellStyles count="3">
    <cellStyle name="Normální" xfId="0" builtinId="0"/>
    <cellStyle name="Normální 2" xfId="1"/>
    <cellStyle name="Normální 3" xfId="2"/>
  </cellStyles>
  <dxfs count="19"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008080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.Domov%20pro%20seniory%20Javorn&#237;k\N&#225;vrh%20rozpo&#269;tu%20na%20rok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0.Vincentinum\17.9.2014\1640%20-%20Vincentinum%20&#352;ternberk%20-%20N&#225;vrh%20rozpo&#269;tu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1.Kl&#237;&#269;%20-%20centrum%20soci&#225;ln&#237;ch%20slu&#382;eb\5.9.2014%20II\PO%20soc%20%20oblast%20-%20N&#225;vrh%20rozpo&#269;tu%202015%20-%20Kl&#237;&#269;%20-%20css,%20p.o.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2.Nov&#233;%20Z&#225;mky\22.8.2014\Kopie%20-%20PO%20soc%20oblast%20-%20N&#225;vrh%20rozpo&#269;tu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3.St&#345;edisko%20soci&#225;ln&#237;%20prevence%20Olomouc\28.8.2014\PO%20soc%20%20oblast%20-%20N&#225;vrh%20rozpo&#269;tu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1.%20DD%20&#352;umperk\26.8.2014\Kopie%20-%20PO%20soc%20%20oblast%20-%20N&#225;vrh%20rozpo&#269;tu%202015-DD%20Spk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5.Domov%20d&#367;chodc&#367;%20Libina\24.9.2014\Kopie%20-%20Kopie%20-%20PO%20soc%20%20oblast%20-%20N&#225;vrh%20rozpo&#269;tu%20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6.%20DD%20&#352;t&#237;ty\Kopie%20-%20PO%20soc%20%20oblast%20-%20N&#225;vrh%20rozpo&#269;tu%202015%203.9.2014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7.Soci&#225;ln&#237;%20slu&#382;by%20&#352;umperk\16.9.2014\PO%20soc%20%20oblast%20-%20N&#225;vrh%20rozpo&#269;tu%202015%20-%20Soci&#225;ln&#237;%20slu&#382;by%20&#352;umperk%20-%20opraveno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8.Penzion%20pro%20d&#367;chodce%20Lo&#353;tice\29.8.2014\Kopie%20-%20PO%20soc.oblast%20-%20N&#225;vrh%20rozpo&#269;tu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19.Domov%20Paprsek%20Ol&#353;any\29.8\Kopie%20-%20PO%20soc%20%20oblast%20-%20N&#225;vrh%20rozpo&#269;tu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.%20DD%20Kobyl&#225;%20nad%20Vidnavkou\10.9.2014%20II\N&#225;vrh%20rozpo&#269;tu%20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0.Duha%20-%20centrum%20soci&#225;ln&#237;ch%20slu&#382;eb%20Vik&#253;&#345;ovice\29.8\PO%20soc%20oblast%20-%20N&#225;vrh%20rozpo&#269;tu%20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1.DD%20Prost&#283;jov\19.8.2014\Kopie%20-%20PO%20soc%20%20oblast%20-%20N&#225;vrh%20rozpo&#269;tu%20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2.DD%20Jesenec\29.8.2014\Kopie%20-%20PO%20soc%20%20oblast%20-%20N&#225;vrh%20rozpo&#269;tu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3.Domov%20Na%20Z&#225;mku%20Nezamyslice\29.8.2014\PO%20soc%20oblast%20%20-%20N&#225;vrh%20rozpo&#269;tu%20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4.Soci&#225;ln&#237;%20slu&#382;by%20Prost&#283;jov\26.9.2014\VYPLN&#282;NO%20-%20PO%20soc%20%20oblast%20-%20N&#225;vrh%20rozpo&#269;tu%202015%20-%20SSPv%20-%20165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5.%20Cenrtrum%20soc.%20sl.%20Prost&#283;jov\Oprava%208.9.2014\PO%20soc%20%20oblast%20-%20N&#225;vrh%20rozpo&#269;tu%20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6.Domov%20pro%20seniory%20Radkova%20Lhota\19.9\Kopie%20-%20PO%20soc%20%20oblast%20-%20N&#225;vrh%20rozpo&#269;tu%20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7.Domov%20Alfreda%20Skeneho\17.9\N&#225;vrh%20rozpo&#269;tu%20n&#225;klady%20a%20v&#253;nosy%20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8.Domov%20pro%20seniory%20Tova&#269;ov\9.9\DS_Tova&#269;ov_PO%20soc%20%20oblast%20-%20N&#225;vrh%20rozpo&#269;tu%202015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29.Domov%20V&#283;trn&#253;%20ml&#253;n%20Skali&#269;ka\22.9\Kopie%20-%201660%20v%20tis%20%20K&#269;%20-%20N&#225;vrh%20rozpo&#269;t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3.%20Domov%20Sn&#283;&#382;enka%20Jesen&#237;k\29.8.2014\2015%20-%20PO%20soc%20%20oblast%20-%20N&#225;vrh%20rozpo&#269;tu%202015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30.Centrum%20Dominika%20Kokory\29.8.2014\PO%20soc%20%20oblast%20-%20N&#225;vrh%20rozpo&#269;tu%20201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31.Domov%20ADAM%20D&#345;evohostice\4.9.2014\Kopie%20-%20Kopie%20-%20PO%20soc%20%20oblast%20-%20N&#225;vrh%20rozpo&#269;tu%20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32.Domov%20Na%20z&#225;me&#269;ku%20Rokytnice\19.9.2014\Kopie%20-%20PO%20soc%20%20oblast%20-%20N&#225;vrh%20rozpo&#269;tu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4.St&#345;edisko%20pe&#269;ovatelsk&#233;%20slu&#382;by%20Jesen&#237;k\27.8\rozpo&#269;et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5.Domov%20d&#367;chodc&#367;%20&#268;ervenka\28.8\N&#225;vrh%20rozpo&#269;tu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6.DD%20N&#225;m&#283;&#353;&#357;%20na%20Han&#233;\26.8.2014\N&#225;vrh%20rozpo&#269;tu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7.DD%20Hrub&#225;%20Voda\3.9.2014\n&#225;kladya%20v&#253;nosy%20v%20%20tis%20K&#26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8.Domov%20senior&#367;%20Pohoda\19.9.2014\N&#225;vrh%20rozpo&#269;tu%202015%20oprav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zpo&#269;et%202015\Pracovn&#237;%20materi&#225;l%20%202015%20PO%20-%20ing%20Zbo&#382;&#237;nek\9.Soci&#225;ln&#237;%20slu&#382;by%20Olomouc,%20Zikova\27.8\Kopie%20-%20PO%20soc%20%20oblast%20-%20N&#225;vrh%20rozpo&#269;tu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4141</v>
          </cell>
          <cell r="BJ140">
            <v>0</v>
          </cell>
        </row>
        <row r="148">
          <cell r="F148">
            <v>1867</v>
          </cell>
        </row>
        <row r="150">
          <cell r="F150">
            <v>446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27282</v>
          </cell>
        </row>
        <row r="148">
          <cell r="AY148">
            <v>16421</v>
          </cell>
        </row>
        <row r="150">
          <cell r="AY150">
            <v>1813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10062</v>
          </cell>
        </row>
        <row r="148">
          <cell r="AY148">
            <v>5111</v>
          </cell>
        </row>
        <row r="150">
          <cell r="AY150">
            <v>730.19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komentáře k tabulkám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21154</v>
          </cell>
        </row>
        <row r="148">
          <cell r="AY148">
            <v>11000</v>
          </cell>
        </row>
        <row r="150">
          <cell r="AY150">
            <v>2363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8114</v>
          </cell>
        </row>
        <row r="148">
          <cell r="AY148">
            <v>7038</v>
          </cell>
        </row>
        <row r="150">
          <cell r="AY150">
            <v>292</v>
          </cell>
        </row>
      </sheetData>
      <sheetData sheetId="6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Poznámky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10307000</v>
          </cell>
        </row>
        <row r="148">
          <cell r="AY148">
            <v>4787000</v>
          </cell>
        </row>
        <row r="150">
          <cell r="AY150">
            <v>1940000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7118</v>
          </cell>
        </row>
        <row r="148">
          <cell r="AY148">
            <v>3472</v>
          </cell>
        </row>
        <row r="150">
          <cell r="AY150">
            <v>130</v>
          </cell>
        </row>
      </sheetData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11082</v>
          </cell>
        </row>
        <row r="148">
          <cell r="AY148">
            <v>5235</v>
          </cell>
        </row>
        <row r="150">
          <cell r="AY150">
            <v>971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6215</v>
          </cell>
        </row>
        <row r="148">
          <cell r="AY148">
            <v>2148</v>
          </cell>
        </row>
        <row r="150">
          <cell r="AY150">
            <v>238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1224</v>
          </cell>
        </row>
        <row r="148">
          <cell r="AY148">
            <v>485</v>
          </cell>
        </row>
        <row r="150">
          <cell r="AY150">
            <v>295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6814</v>
          </cell>
        </row>
        <row r="148">
          <cell r="AY148">
            <v>3569</v>
          </cell>
        </row>
        <row r="150">
          <cell r="AY150">
            <v>455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6191</v>
          </cell>
        </row>
        <row r="148">
          <cell r="F148">
            <v>4266</v>
          </cell>
        </row>
        <row r="150">
          <cell r="F150">
            <v>501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2606</v>
          </cell>
        </row>
        <row r="148">
          <cell r="AY148">
            <v>1625</v>
          </cell>
        </row>
        <row r="150">
          <cell r="AY150">
            <v>14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komentář r.2013"/>
      <sheetName val="komentář r.2014"/>
      <sheetName val="komentář r.2015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11583</v>
          </cell>
        </row>
        <row r="148">
          <cell r="AY148">
            <v>9225</v>
          </cell>
        </row>
        <row r="150">
          <cell r="AY150">
            <v>1008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5014</v>
          </cell>
        </row>
        <row r="148">
          <cell r="AY148">
            <v>3235</v>
          </cell>
        </row>
        <row r="150">
          <cell r="AY150">
            <v>328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10961</v>
          </cell>
        </row>
        <row r="148">
          <cell r="AY148">
            <v>4871</v>
          </cell>
        </row>
        <row r="150">
          <cell r="AY150">
            <v>823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5818</v>
          </cell>
        </row>
        <row r="148">
          <cell r="AY148">
            <v>2140</v>
          </cell>
        </row>
        <row r="150">
          <cell r="AY150">
            <v>232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návrh 2015 (2)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17811</v>
          </cell>
        </row>
        <row r="148">
          <cell r="AY148">
            <v>11999</v>
          </cell>
        </row>
        <row r="150">
          <cell r="AY150">
            <v>3955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9000</v>
          </cell>
        </row>
        <row r="148">
          <cell r="AY148">
            <v>2926</v>
          </cell>
        </row>
        <row r="150">
          <cell r="AY150">
            <v>2000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9006</v>
          </cell>
        </row>
        <row r="148">
          <cell r="AY148">
            <v>4254</v>
          </cell>
        </row>
        <row r="150">
          <cell r="AY150">
            <v>447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8401</v>
          </cell>
        </row>
        <row r="148">
          <cell r="AY148">
            <v>3000</v>
          </cell>
        </row>
        <row r="150">
          <cell r="AY150">
            <v>2392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6151</v>
          </cell>
        </row>
        <row r="148">
          <cell r="AY148">
            <v>1874</v>
          </cell>
        </row>
        <row r="150">
          <cell r="AY150">
            <v>805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7416</v>
          </cell>
        </row>
        <row r="148">
          <cell r="AY148">
            <v>2987</v>
          </cell>
        </row>
        <row r="150">
          <cell r="AY150">
            <v>1071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6446</v>
          </cell>
        </row>
        <row r="148">
          <cell r="AY148">
            <v>2501</v>
          </cell>
        </row>
        <row r="150">
          <cell r="AY150">
            <v>1004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7248</v>
          </cell>
        </row>
        <row r="148">
          <cell r="AY148">
            <v>4321</v>
          </cell>
        </row>
        <row r="150">
          <cell r="AY150">
            <v>1007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14318</v>
          </cell>
        </row>
        <row r="148">
          <cell r="AY148">
            <v>5098</v>
          </cell>
        </row>
        <row r="150">
          <cell r="AY150">
            <v>1262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2363</v>
          </cell>
        </row>
        <row r="148">
          <cell r="AY148">
            <v>605</v>
          </cell>
        </row>
        <row r="150">
          <cell r="AY150">
            <v>95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11401</v>
          </cell>
        </row>
        <row r="148">
          <cell r="AY148">
            <v>7414</v>
          </cell>
        </row>
        <row r="150">
          <cell r="AY150">
            <v>848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1860</v>
          </cell>
        </row>
        <row r="148">
          <cell r="AY148">
            <v>1518</v>
          </cell>
        </row>
        <row r="150">
          <cell r="AY150">
            <v>222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6268</v>
          </cell>
        </row>
        <row r="150">
          <cell r="AY150">
            <v>1505.9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  <sheetName val="List1"/>
      <sheetName val="List2"/>
      <sheetName val="List3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21886</v>
          </cell>
        </row>
        <row r="148">
          <cell r="AY148">
            <v>24145</v>
          </cell>
        </row>
        <row r="150">
          <cell r="AY150">
            <v>6073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list"/>
      <sheetName val="komentář"/>
      <sheetName val="rok 2013"/>
      <sheetName val="SR 2014"/>
      <sheetName val="očekávaná skutečnost 2014"/>
      <sheetName val="návrh 2015"/>
      <sheetName val="Rekapitulace"/>
    </sheetNames>
    <sheetDataSet>
      <sheetData sheetId="0"/>
      <sheetData sheetId="1"/>
      <sheetData sheetId="2"/>
      <sheetData sheetId="3"/>
      <sheetData sheetId="4"/>
      <sheetData sheetId="5">
        <row r="140">
          <cell r="AY140">
            <v>19438</v>
          </cell>
        </row>
        <row r="148">
          <cell r="AY148">
            <v>7899</v>
          </cell>
        </row>
        <row r="150">
          <cell r="AY150">
            <v>1345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I74"/>
  <sheetViews>
    <sheetView showGridLines="0" tabSelected="1" topLeftCell="A2" zoomScaleNormal="100" workbookViewId="0">
      <selection activeCell="J29" sqref="J29"/>
    </sheetView>
  </sheetViews>
  <sheetFormatPr defaultRowHeight="12.75" x14ac:dyDescent="0.2"/>
  <cols>
    <col min="1" max="1" width="0.140625" style="24" customWidth="1"/>
    <col min="2" max="2" width="48.5703125" style="24" customWidth="1"/>
    <col min="3" max="4" width="17.28515625" style="24" customWidth="1"/>
    <col min="5" max="7" width="17.28515625" style="192" customWidth="1"/>
    <col min="8" max="8" width="12.7109375" style="192" customWidth="1"/>
    <col min="9" max="9" width="2" style="24" customWidth="1"/>
    <col min="10" max="12" width="9.140625" style="24" customWidth="1"/>
    <col min="13" max="16384" width="9.140625" style="24"/>
  </cols>
  <sheetData>
    <row r="1" spans="1:8" hidden="1" x14ac:dyDescent="0.2">
      <c r="D1"/>
    </row>
    <row r="2" spans="1:8" ht="20.25" x14ac:dyDescent="0.3">
      <c r="B2" s="35" t="s">
        <v>233</v>
      </c>
      <c r="C2" s="35"/>
      <c r="D2" s="103"/>
      <c r="E2" s="270"/>
      <c r="F2" s="270"/>
      <c r="G2" s="270"/>
      <c r="H2" s="270"/>
    </row>
    <row r="3" spans="1:8" ht="15.75" x14ac:dyDescent="0.25">
      <c r="B3" s="78" t="s">
        <v>162</v>
      </c>
      <c r="C3" s="78"/>
      <c r="D3" s="103"/>
      <c r="E3" s="271"/>
      <c r="F3" s="271"/>
      <c r="G3" s="271"/>
      <c r="H3" s="271"/>
    </row>
    <row r="4" spans="1:8" ht="13.5" thickBot="1" x14ac:dyDescent="0.25">
      <c r="D4" s="103"/>
      <c r="E4" s="272"/>
      <c r="F4" s="711"/>
      <c r="G4" s="711"/>
      <c r="H4" s="272"/>
    </row>
    <row r="5" spans="1:8" ht="26.1" customHeight="1" thickTop="1" x14ac:dyDescent="0.25">
      <c r="B5" s="352"/>
      <c r="C5" s="699">
        <v>2014</v>
      </c>
      <c r="D5" s="716"/>
      <c r="E5" s="646"/>
      <c r="F5" s="709" t="s">
        <v>231</v>
      </c>
      <c r="G5" s="710"/>
      <c r="H5" s="24"/>
    </row>
    <row r="6" spans="1:8" ht="12.75" customHeight="1" x14ac:dyDescent="0.2">
      <c r="B6" s="712" t="s">
        <v>51</v>
      </c>
      <c r="C6" s="701" t="s">
        <v>217</v>
      </c>
      <c r="D6" s="714" t="s">
        <v>229</v>
      </c>
      <c r="E6" s="705" t="s">
        <v>543</v>
      </c>
      <c r="F6" s="338"/>
      <c r="G6" s="332"/>
      <c r="H6" s="24"/>
    </row>
    <row r="7" spans="1:8" ht="34.5" customHeight="1" thickBot="1" x14ac:dyDescent="0.25">
      <c r="B7" s="713"/>
      <c r="C7" s="702"/>
      <c r="D7" s="715"/>
      <c r="E7" s="706"/>
      <c r="F7" s="339" t="s">
        <v>545</v>
      </c>
      <c r="G7" s="330" t="s">
        <v>544</v>
      </c>
      <c r="H7" s="24"/>
    </row>
    <row r="8" spans="1:8" ht="14.25" thickTop="1" thickBot="1" x14ac:dyDescent="0.25">
      <c r="B8" s="353"/>
      <c r="C8" s="274" t="s">
        <v>230</v>
      </c>
      <c r="D8" s="663" t="s">
        <v>50</v>
      </c>
      <c r="E8" s="668" t="s">
        <v>49</v>
      </c>
      <c r="F8" s="359" t="s">
        <v>541</v>
      </c>
      <c r="G8" s="570" t="s">
        <v>542</v>
      </c>
      <c r="H8" s="24"/>
    </row>
    <row r="9" spans="1:8" ht="15.95" customHeight="1" x14ac:dyDescent="0.25">
      <c r="A9" s="100"/>
      <c r="B9" s="487" t="s">
        <v>153</v>
      </c>
      <c r="C9" s="111">
        <f>C10+C15</f>
        <v>389394</v>
      </c>
      <c r="D9" s="664">
        <f>D10+D15</f>
        <v>386843.96000000008</v>
      </c>
      <c r="E9" s="669">
        <f>E10+E15</f>
        <v>356931</v>
      </c>
      <c r="F9" s="360">
        <f>E9-C9</f>
        <v>-32463</v>
      </c>
      <c r="G9" s="680">
        <f>E9/C9-1</f>
        <v>-8.3368002588637746E-2</v>
      </c>
      <c r="H9" s="195"/>
    </row>
    <row r="10" spans="1:8" ht="15.95" customHeight="1" x14ac:dyDescent="0.25">
      <c r="A10" s="100"/>
      <c r="B10" s="488" t="s">
        <v>149</v>
      </c>
      <c r="C10" s="112">
        <f>SUM(C11:C14)</f>
        <v>389293</v>
      </c>
      <c r="D10" s="665">
        <f>SUM(D11:D14)</f>
        <v>386742.96000000008</v>
      </c>
      <c r="E10" s="670">
        <f>SUM(E11:E14)</f>
        <v>356823</v>
      </c>
      <c r="F10" s="362">
        <f t="shared" ref="F10:F49" si="0">E10-C10</f>
        <v>-32470</v>
      </c>
      <c r="G10" s="686">
        <f t="shared" ref="G10:G49" si="1">E10/C10-1</f>
        <v>-8.3407613288705384E-2</v>
      </c>
      <c r="H10" s="273"/>
    </row>
    <row r="11" spans="1:8" ht="15.95" customHeight="1" x14ac:dyDescent="0.2">
      <c r="A11" s="100"/>
      <c r="B11" s="489" t="s">
        <v>148</v>
      </c>
      <c r="C11" s="113">
        <f>'Celkem ORJ -10'!C12</f>
        <v>299376</v>
      </c>
      <c r="D11" s="348">
        <f>'Celkem ORJ -10'!D12</f>
        <v>296280.41000000003</v>
      </c>
      <c r="E11" s="671">
        <f>'Celkem ORJ -10'!E12</f>
        <v>283174</v>
      </c>
      <c r="F11" s="573">
        <f t="shared" si="0"/>
        <v>-16202</v>
      </c>
      <c r="G11" s="677">
        <f t="shared" si="1"/>
        <v>-5.4119234674790184E-2</v>
      </c>
      <c r="H11" s="195"/>
    </row>
    <row r="12" spans="1:8" ht="15.95" customHeight="1" x14ac:dyDescent="0.2">
      <c r="A12" s="100"/>
      <c r="B12" s="489" t="s">
        <v>147</v>
      </c>
      <c r="C12" s="113">
        <f>'Celkem ORJ -10'!C13</f>
        <v>738</v>
      </c>
      <c r="D12" s="348">
        <f>'Celkem ORJ -10'!D13</f>
        <v>1504.38</v>
      </c>
      <c r="E12" s="671">
        <f>'Celkem ORJ -10'!E13</f>
        <v>1057</v>
      </c>
      <c r="F12" s="573">
        <f t="shared" si="0"/>
        <v>319</v>
      </c>
      <c r="G12" s="677">
        <f t="shared" si="1"/>
        <v>0.4322493224932249</v>
      </c>
      <c r="H12" s="195"/>
    </row>
    <row r="13" spans="1:8" ht="15.95" customHeight="1" x14ac:dyDescent="0.2">
      <c r="A13" s="100"/>
      <c r="B13" s="354" t="s">
        <v>232</v>
      </c>
      <c r="C13" s="113">
        <f>'Celkem ORJ -10'!C14</f>
        <v>88713</v>
      </c>
      <c r="D13" s="348">
        <f>'Celkem ORJ -10'!D14</f>
        <v>88713.170000000013</v>
      </c>
      <c r="E13" s="671">
        <f>'Celkem ORJ -10'!E14</f>
        <v>72159</v>
      </c>
      <c r="F13" s="573">
        <f t="shared" si="0"/>
        <v>-16554</v>
      </c>
      <c r="G13" s="677">
        <f t="shared" si="1"/>
        <v>-0.18660173818944237</v>
      </c>
      <c r="H13" s="195"/>
    </row>
    <row r="14" spans="1:8" ht="15.95" customHeight="1" x14ac:dyDescent="0.2">
      <c r="A14" s="100"/>
      <c r="B14" s="489" t="s">
        <v>146</v>
      </c>
      <c r="C14" s="113">
        <f>'Celkem ORJ -10'!C15</f>
        <v>466</v>
      </c>
      <c r="D14" s="348">
        <f>'Celkem ORJ -10'!D15</f>
        <v>245</v>
      </c>
      <c r="E14" s="671">
        <f>'Celkem ORJ -10'!E15</f>
        <v>433</v>
      </c>
      <c r="F14" s="573">
        <f t="shared" si="0"/>
        <v>-33</v>
      </c>
      <c r="G14" s="677">
        <f t="shared" si="1"/>
        <v>-7.0815450643776812E-2</v>
      </c>
      <c r="H14" s="195"/>
    </row>
    <row r="15" spans="1:8" ht="15.95" customHeight="1" thickBot="1" x14ac:dyDescent="0.3">
      <c r="A15" s="100"/>
      <c r="B15" s="490" t="s">
        <v>145</v>
      </c>
      <c r="C15" s="343">
        <f>'Celkem ORJ -10'!C21</f>
        <v>101</v>
      </c>
      <c r="D15" s="410">
        <f>'Celkem ORJ -10'!D21</f>
        <v>101</v>
      </c>
      <c r="E15" s="672">
        <f>'Celkem ORJ -10'!E21</f>
        <v>108</v>
      </c>
      <c r="F15" s="687">
        <f t="shared" si="0"/>
        <v>7</v>
      </c>
      <c r="G15" s="688">
        <f t="shared" si="1"/>
        <v>6.9306930693069368E-2</v>
      </c>
      <c r="H15" s="195"/>
    </row>
    <row r="16" spans="1:8" ht="15.95" customHeight="1" x14ac:dyDescent="0.25">
      <c r="A16" s="100"/>
      <c r="B16" s="355" t="s">
        <v>152</v>
      </c>
      <c r="C16" s="309">
        <f>SUM(C17:C20)</f>
        <v>235000</v>
      </c>
      <c r="D16" s="38">
        <f>SUM(D17:D20)</f>
        <v>188339</v>
      </c>
      <c r="E16" s="673">
        <f>SUM(E17:E20)</f>
        <v>195546</v>
      </c>
      <c r="F16" s="681">
        <f t="shared" si="0"/>
        <v>-39454</v>
      </c>
      <c r="G16" s="682">
        <f t="shared" si="1"/>
        <v>-0.16788936170212765</v>
      </c>
      <c r="H16" s="195"/>
    </row>
    <row r="17" spans="1:8" ht="15.95" customHeight="1" x14ac:dyDescent="0.2">
      <c r="A17" s="100"/>
      <c r="B17" s="489" t="s">
        <v>148</v>
      </c>
      <c r="C17" s="113">
        <f>'Celkem ORJ - 11'!C12</f>
        <v>114306</v>
      </c>
      <c r="D17" s="348">
        <f>'Celkem ORJ - 11'!D12</f>
        <v>149045</v>
      </c>
      <c r="E17" s="671">
        <f>'Celkem ORJ - 11'!E12</f>
        <v>145683</v>
      </c>
      <c r="F17" s="573">
        <f t="shared" si="0"/>
        <v>31377</v>
      </c>
      <c r="G17" s="677">
        <f t="shared" si="1"/>
        <v>0.27450002624534142</v>
      </c>
      <c r="H17" s="195"/>
    </row>
    <row r="18" spans="1:8" ht="15.95" customHeight="1" x14ac:dyDescent="0.2">
      <c r="A18" s="100"/>
      <c r="B18" s="489" t="s">
        <v>147</v>
      </c>
      <c r="C18" s="113">
        <f>'Celkem ORJ - 11'!C13</f>
        <v>0</v>
      </c>
      <c r="D18" s="348">
        <f>'Celkem ORJ - 11'!D13</f>
        <v>0</v>
      </c>
      <c r="E18" s="671">
        <f>'Celkem ORJ - 11'!E13</f>
        <v>0</v>
      </c>
      <c r="F18" s="573">
        <f t="shared" si="0"/>
        <v>0</v>
      </c>
      <c r="G18" s="677"/>
      <c r="H18" s="195"/>
    </row>
    <row r="19" spans="1:8" ht="15.95" customHeight="1" x14ac:dyDescent="0.2">
      <c r="A19" s="100"/>
      <c r="B19" s="354" t="s">
        <v>232</v>
      </c>
      <c r="C19" s="113">
        <f>'Celkem ORJ - 11'!C14</f>
        <v>31574</v>
      </c>
      <c r="D19" s="348">
        <f>'Celkem ORJ - 11'!D14</f>
        <v>34294</v>
      </c>
      <c r="E19" s="671">
        <f>'Celkem ORJ - 11'!E14</f>
        <v>49863</v>
      </c>
      <c r="F19" s="573">
        <f t="shared" si="0"/>
        <v>18289</v>
      </c>
      <c r="G19" s="677">
        <f t="shared" si="1"/>
        <v>0.57924241464496107</v>
      </c>
      <c r="H19" s="195"/>
    </row>
    <row r="20" spans="1:8" ht="15.95" customHeight="1" thickBot="1" x14ac:dyDescent="0.25">
      <c r="A20" s="100"/>
      <c r="B20" s="491" t="s">
        <v>146</v>
      </c>
      <c r="C20" s="342">
        <f>'Celkem ORJ - 11'!C15</f>
        <v>89120</v>
      </c>
      <c r="D20" s="666">
        <f>'Celkem ORJ - 11'!D15</f>
        <v>5000</v>
      </c>
      <c r="E20" s="674">
        <f>'Celkem ORJ - 11'!E15</f>
        <v>0</v>
      </c>
      <c r="F20" s="678">
        <f t="shared" si="0"/>
        <v>-89120</v>
      </c>
      <c r="G20" s="679">
        <f t="shared" si="1"/>
        <v>-1</v>
      </c>
      <c r="H20" s="195"/>
    </row>
    <row r="21" spans="1:8" ht="15.95" customHeight="1" x14ac:dyDescent="0.25">
      <c r="A21" s="100"/>
      <c r="B21" s="487" t="s">
        <v>151</v>
      </c>
      <c r="C21" s="111">
        <f>C22+C28</f>
        <v>491687</v>
      </c>
      <c r="D21" s="664">
        <f t="shared" ref="D21:E21" si="2">D22+D28</f>
        <v>491916</v>
      </c>
      <c r="E21" s="669">
        <f t="shared" si="2"/>
        <v>1347018</v>
      </c>
      <c r="F21" s="681">
        <f t="shared" si="0"/>
        <v>855331</v>
      </c>
      <c r="G21" s="682">
        <f t="shared" si="1"/>
        <v>1.7395843290548663</v>
      </c>
      <c r="H21" s="195"/>
    </row>
    <row r="22" spans="1:8" ht="15.95" customHeight="1" x14ac:dyDescent="0.25">
      <c r="A22" s="100"/>
      <c r="B22" s="488" t="s">
        <v>255</v>
      </c>
      <c r="C22" s="112">
        <f>SUM(C23:C27)</f>
        <v>491687</v>
      </c>
      <c r="D22" s="665">
        <f>SUM(D23:D27)</f>
        <v>491916</v>
      </c>
      <c r="E22" s="670">
        <f>SUM(E23:E27)</f>
        <v>479464</v>
      </c>
      <c r="F22" s="362">
        <f t="shared" si="0"/>
        <v>-12223</v>
      </c>
      <c r="G22" s="686">
        <f t="shared" si="1"/>
        <v>-2.4859310903074472E-2</v>
      </c>
      <c r="H22" s="273"/>
    </row>
    <row r="23" spans="1:8" ht="15.95" customHeight="1" x14ac:dyDescent="0.2">
      <c r="A23" s="100"/>
      <c r="B23" s="489" t="s">
        <v>257</v>
      </c>
      <c r="C23" s="113">
        <f>'Celkem ORJ -12'!C11</f>
        <v>365474</v>
      </c>
      <c r="D23" s="348">
        <f>'Celkem ORJ -12'!D11</f>
        <v>365474</v>
      </c>
      <c r="E23" s="671">
        <f>'Celkem ORJ -12'!E11</f>
        <v>349508</v>
      </c>
      <c r="F23" s="573">
        <f t="shared" si="0"/>
        <v>-15966</v>
      </c>
      <c r="G23" s="677">
        <f t="shared" si="1"/>
        <v>-4.3685734142510868E-2</v>
      </c>
      <c r="H23" s="195"/>
    </row>
    <row r="24" spans="1:8" ht="15.95" customHeight="1" x14ac:dyDescent="0.2">
      <c r="A24" s="100"/>
      <c r="B24" s="489" t="s">
        <v>258</v>
      </c>
      <c r="C24" s="113">
        <f>'Celkem ORJ -12'!C12</f>
        <v>5066</v>
      </c>
      <c r="D24" s="348">
        <f>'Celkem ORJ -12'!D12</f>
        <v>5066</v>
      </c>
      <c r="E24" s="671">
        <f>'Celkem ORJ -12'!E12</f>
        <v>6090</v>
      </c>
      <c r="F24" s="573">
        <f t="shared" si="0"/>
        <v>1024</v>
      </c>
      <c r="G24" s="677">
        <f t="shared" si="1"/>
        <v>0.20213185945519152</v>
      </c>
      <c r="H24" s="195"/>
    </row>
    <row r="25" spans="1:8" ht="15.95" customHeight="1" x14ac:dyDescent="0.2">
      <c r="A25" s="100"/>
      <c r="B25" s="489" t="s">
        <v>259</v>
      </c>
      <c r="C25" s="113">
        <f>'Celkem ORJ -12'!C13</f>
        <v>121147</v>
      </c>
      <c r="D25" s="348">
        <f>'Celkem ORJ -12'!D13</f>
        <v>121147</v>
      </c>
      <c r="E25" s="671">
        <f>'Celkem ORJ -12'!E13</f>
        <v>123516</v>
      </c>
      <c r="F25" s="573">
        <f t="shared" si="0"/>
        <v>2369</v>
      </c>
      <c r="G25" s="677">
        <f t="shared" si="1"/>
        <v>1.9554755792549505E-2</v>
      </c>
      <c r="H25" s="195"/>
    </row>
    <row r="26" spans="1:8" ht="15.95" customHeight="1" x14ac:dyDescent="0.2">
      <c r="A26" s="100"/>
      <c r="B26" s="489" t="s">
        <v>260</v>
      </c>
      <c r="C26" s="113">
        <f>'Celkem ORJ -12'!C14</f>
        <v>0</v>
      </c>
      <c r="D26" s="348">
        <f>'Celkem ORJ -12'!D14</f>
        <v>229</v>
      </c>
      <c r="E26" s="671">
        <f>'Celkem ORJ -12'!E14</f>
        <v>0</v>
      </c>
      <c r="F26" s="573">
        <f t="shared" si="0"/>
        <v>0</v>
      </c>
      <c r="G26" s="677"/>
      <c r="H26" s="195"/>
    </row>
    <row r="27" spans="1:8" ht="15.95" customHeight="1" x14ac:dyDescent="0.2">
      <c r="A27" s="100"/>
      <c r="B27" s="489" t="s">
        <v>261</v>
      </c>
      <c r="C27" s="113">
        <f>'Celkem ORJ -12'!C15</f>
        <v>0</v>
      </c>
      <c r="D27" s="348">
        <f>'Celkem ORJ -12'!D15</f>
        <v>0</v>
      </c>
      <c r="E27" s="671">
        <f>'Celkem ORJ -12'!E15</f>
        <v>350</v>
      </c>
      <c r="F27" s="573">
        <f t="shared" si="0"/>
        <v>350</v>
      </c>
      <c r="G27" s="677"/>
      <c r="H27" s="195"/>
    </row>
    <row r="28" spans="1:8" ht="15.95" customHeight="1" thickBot="1" x14ac:dyDescent="0.3">
      <c r="A28" s="100"/>
      <c r="B28" s="488" t="s">
        <v>256</v>
      </c>
      <c r="C28" s="112">
        <f>'Celkem ORJ -12'!C17</f>
        <v>0</v>
      </c>
      <c r="D28" s="410">
        <f>'Celkem ORJ -12'!D17</f>
        <v>0</v>
      </c>
      <c r="E28" s="672">
        <f>'Celkem ORJ -12'!E17</f>
        <v>867554</v>
      </c>
      <c r="F28" s="363">
        <f t="shared" si="0"/>
        <v>867554</v>
      </c>
      <c r="G28" s="688"/>
      <c r="H28" s="273"/>
    </row>
    <row r="29" spans="1:8" ht="15.95" customHeight="1" x14ac:dyDescent="0.25">
      <c r="A29" s="100"/>
      <c r="B29" s="487" t="s">
        <v>0</v>
      </c>
      <c r="C29" s="111">
        <f>C30+C38</f>
        <v>123966</v>
      </c>
      <c r="D29" s="664">
        <f>D30+D38</f>
        <v>124569</v>
      </c>
      <c r="E29" s="669">
        <f>E30+E38</f>
        <v>130813</v>
      </c>
      <c r="F29" s="681">
        <f t="shared" si="0"/>
        <v>6847</v>
      </c>
      <c r="G29" s="682">
        <f t="shared" si="1"/>
        <v>5.5232886436603623E-2</v>
      </c>
      <c r="H29" s="195"/>
    </row>
    <row r="30" spans="1:8" ht="15.95" customHeight="1" x14ac:dyDescent="0.25">
      <c r="A30" s="100"/>
      <c r="B30" s="488" t="s">
        <v>149</v>
      </c>
      <c r="C30" s="112">
        <f>SUM(C31:C37)</f>
        <v>122370</v>
      </c>
      <c r="D30" s="665">
        <f>SUM(D31:D37)</f>
        <v>122973</v>
      </c>
      <c r="E30" s="670">
        <f>SUM(E31:E37)</f>
        <v>129217</v>
      </c>
      <c r="F30" s="362">
        <f t="shared" si="0"/>
        <v>6847</v>
      </c>
      <c r="G30" s="686">
        <f t="shared" si="1"/>
        <v>5.5953256517120131E-2</v>
      </c>
      <c r="H30" s="273"/>
    </row>
    <row r="31" spans="1:8" ht="15.95" customHeight="1" x14ac:dyDescent="0.2">
      <c r="A31" s="100"/>
      <c r="B31" s="489" t="s">
        <v>148</v>
      </c>
      <c r="C31" s="113">
        <f>'Celkem ORJ 13'!C13</f>
        <v>43964</v>
      </c>
      <c r="D31" s="348">
        <f>'Celkem ORJ 13'!D13</f>
        <v>44127</v>
      </c>
      <c r="E31" s="671">
        <f>'Celkem ORJ 13'!E13</f>
        <v>42952</v>
      </c>
      <c r="F31" s="573">
        <f t="shared" si="0"/>
        <v>-1012</v>
      </c>
      <c r="G31" s="677">
        <f t="shared" si="1"/>
        <v>-2.3018833591120003E-2</v>
      </c>
      <c r="H31" s="195"/>
    </row>
    <row r="32" spans="1:8" ht="15.95" customHeight="1" x14ac:dyDescent="0.2">
      <c r="A32" s="100"/>
      <c r="B32" s="489" t="s">
        <v>147</v>
      </c>
      <c r="C32" s="113">
        <f>'Celkem ORJ 13'!C14</f>
        <v>63584</v>
      </c>
      <c r="D32" s="348">
        <f>'Celkem ORJ 13'!D14</f>
        <v>64024</v>
      </c>
      <c r="E32" s="671">
        <f>'Celkem ORJ 13'!E14</f>
        <v>66832</v>
      </c>
      <c r="F32" s="573">
        <f t="shared" si="0"/>
        <v>3248</v>
      </c>
      <c r="G32" s="677">
        <f t="shared" si="1"/>
        <v>5.1082033215903433E-2</v>
      </c>
      <c r="H32" s="195"/>
    </row>
    <row r="33" spans="1:8" ht="15.95" customHeight="1" x14ac:dyDescent="0.2">
      <c r="A33" s="100"/>
      <c r="B33" s="354" t="s">
        <v>232</v>
      </c>
      <c r="C33" s="113">
        <f>'Celkem ORJ 13'!C15</f>
        <v>14537</v>
      </c>
      <c r="D33" s="348">
        <f>'Celkem ORJ 13'!D15</f>
        <v>14537</v>
      </c>
      <c r="E33" s="671">
        <f>'Celkem ORJ 13'!E15</f>
        <v>19033</v>
      </c>
      <c r="F33" s="573">
        <f t="shared" si="0"/>
        <v>4496</v>
      </c>
      <c r="G33" s="677">
        <f t="shared" si="1"/>
        <v>0.30927976886565323</v>
      </c>
      <c r="H33" s="195"/>
    </row>
    <row r="34" spans="1:8" ht="15.95" customHeight="1" x14ac:dyDescent="0.2">
      <c r="A34" s="100"/>
      <c r="B34" s="489" t="s">
        <v>261</v>
      </c>
      <c r="C34" s="113">
        <f>'Celkem ORJ 13'!C16</f>
        <v>0</v>
      </c>
      <c r="D34" s="348">
        <f>'Celkem ORJ 13'!D16</f>
        <v>0</v>
      </c>
      <c r="E34" s="671">
        <f>'Celkem ORJ 13'!E16</f>
        <v>200</v>
      </c>
      <c r="F34" s="573">
        <f t="shared" si="0"/>
        <v>200</v>
      </c>
      <c r="G34" s="677"/>
      <c r="H34" s="195"/>
    </row>
    <row r="35" spans="1:8" ht="15.95" customHeight="1" x14ac:dyDescent="0.2">
      <c r="A35" s="100"/>
      <c r="B35" s="489" t="s">
        <v>240</v>
      </c>
      <c r="C35" s="361">
        <f>'Celkem ORJ 13'!C17</f>
        <v>0</v>
      </c>
      <c r="D35" s="348">
        <f>'Celkem ORJ 13'!D17</f>
        <v>185</v>
      </c>
      <c r="E35" s="671">
        <f>'Celkem ORJ 13'!E17</f>
        <v>0</v>
      </c>
      <c r="F35" s="573">
        <f t="shared" si="0"/>
        <v>0</v>
      </c>
      <c r="G35" s="677"/>
      <c r="H35" s="195"/>
    </row>
    <row r="36" spans="1:8" ht="15.95" customHeight="1" x14ac:dyDescent="0.2">
      <c r="A36" s="100"/>
      <c r="B36" s="489" t="s">
        <v>146</v>
      </c>
      <c r="C36" s="361">
        <f>'Celkem ORJ 13'!C18</f>
        <v>0</v>
      </c>
      <c r="D36" s="348">
        <f>'Celkem ORJ 13'!D18</f>
        <v>0</v>
      </c>
      <c r="E36" s="671">
        <f>'Celkem ORJ 13'!E18</f>
        <v>0</v>
      </c>
      <c r="F36" s="573">
        <f t="shared" si="0"/>
        <v>0</v>
      </c>
      <c r="G36" s="677"/>
      <c r="H36" s="195"/>
    </row>
    <row r="37" spans="1:8" ht="15.95" customHeight="1" x14ac:dyDescent="0.2">
      <c r="A37" s="100"/>
      <c r="B37" s="489" t="s">
        <v>150</v>
      </c>
      <c r="C37" s="361">
        <f>'Celkem ORJ 13'!C19</f>
        <v>285</v>
      </c>
      <c r="D37" s="348">
        <f>'Celkem ORJ 13'!D19</f>
        <v>100</v>
      </c>
      <c r="E37" s="671">
        <f>'Celkem ORJ 13'!E19</f>
        <v>200</v>
      </c>
      <c r="F37" s="361">
        <f t="shared" si="0"/>
        <v>-85</v>
      </c>
      <c r="G37" s="579">
        <f t="shared" si="1"/>
        <v>-0.29824561403508776</v>
      </c>
      <c r="H37" s="195"/>
    </row>
    <row r="38" spans="1:8" ht="15.95" customHeight="1" thickBot="1" x14ac:dyDescent="0.3">
      <c r="A38" s="100"/>
      <c r="B38" s="490" t="s">
        <v>145</v>
      </c>
      <c r="C38" s="363">
        <f>'Celkem ORJ 13'!C22</f>
        <v>1596</v>
      </c>
      <c r="D38" s="410">
        <f>'Celkem ORJ 13'!D22</f>
        <v>1596</v>
      </c>
      <c r="E38" s="672">
        <f>'Celkem ORJ 13'!E22</f>
        <v>1596</v>
      </c>
      <c r="F38" s="363">
        <f t="shared" si="0"/>
        <v>0</v>
      </c>
      <c r="G38" s="689">
        <f t="shared" si="1"/>
        <v>0</v>
      </c>
      <c r="H38" s="195"/>
    </row>
    <row r="39" spans="1:8" ht="15.95" customHeight="1" x14ac:dyDescent="0.25">
      <c r="A39" s="100"/>
      <c r="B39" s="355" t="s">
        <v>131</v>
      </c>
      <c r="C39" s="309">
        <f>C40+C45</f>
        <v>225662</v>
      </c>
      <c r="D39" s="664">
        <f>D40+D45</f>
        <v>238343</v>
      </c>
      <c r="E39" s="669">
        <f>E40+E45</f>
        <v>230390</v>
      </c>
      <c r="F39" s="681">
        <f>E39-C39</f>
        <v>4728</v>
      </c>
      <c r="G39" s="682">
        <f t="shared" si="1"/>
        <v>2.0951688808926727E-2</v>
      </c>
      <c r="H39" s="195"/>
    </row>
    <row r="40" spans="1:8" ht="15.95" customHeight="1" x14ac:dyDescent="0.25">
      <c r="A40" s="100"/>
      <c r="B40" s="488" t="s">
        <v>149</v>
      </c>
      <c r="C40" s="112">
        <f>SUM(C41:C44)</f>
        <v>217518</v>
      </c>
      <c r="D40" s="665">
        <f>SUM(D41:D44)</f>
        <v>230199</v>
      </c>
      <c r="E40" s="670">
        <f>SUM(E41:E44)</f>
        <v>222246</v>
      </c>
      <c r="F40" s="362">
        <f>E40-C40</f>
        <v>4728</v>
      </c>
      <c r="G40" s="686">
        <f t="shared" si="1"/>
        <v>2.1736132182164303E-2</v>
      </c>
      <c r="H40" s="273"/>
    </row>
    <row r="41" spans="1:8" ht="15.95" customHeight="1" x14ac:dyDescent="0.2">
      <c r="A41" s="100"/>
      <c r="B41" s="489" t="s">
        <v>207</v>
      </c>
      <c r="C41" s="113">
        <f>'Celkem ORJ - 14'!C12</f>
        <v>163410</v>
      </c>
      <c r="D41" s="348">
        <f>'Celkem ORJ - 14'!D12</f>
        <v>173507</v>
      </c>
      <c r="E41" s="671">
        <f>'Celkem ORJ - 14'!E12</f>
        <v>78275</v>
      </c>
      <c r="F41" s="573">
        <f t="shared" si="0"/>
        <v>-85135</v>
      </c>
      <c r="G41" s="677">
        <f t="shared" si="1"/>
        <v>-0.52099014748179429</v>
      </c>
      <c r="H41" s="195"/>
    </row>
    <row r="42" spans="1:8" ht="15.95" customHeight="1" x14ac:dyDescent="0.2">
      <c r="A42" s="100"/>
      <c r="B42" s="489" t="s">
        <v>147</v>
      </c>
      <c r="C42" s="113">
        <f>'Celkem ORJ - 14'!C13</f>
        <v>34200</v>
      </c>
      <c r="D42" s="348">
        <f>'Celkem ORJ - 14'!D13</f>
        <v>36988</v>
      </c>
      <c r="E42" s="671">
        <f>'Celkem ORJ - 14'!E13</f>
        <v>129005</v>
      </c>
      <c r="F42" s="573">
        <f t="shared" si="0"/>
        <v>94805</v>
      </c>
      <c r="G42" s="677">
        <f t="shared" si="1"/>
        <v>2.7720760233918127</v>
      </c>
      <c r="H42" s="195"/>
    </row>
    <row r="43" spans="1:8" ht="15.95" customHeight="1" x14ac:dyDescent="0.2">
      <c r="A43" s="100"/>
      <c r="B43" s="354" t="s">
        <v>232</v>
      </c>
      <c r="C43" s="113">
        <f>'Celkem ORJ - 14'!C14</f>
        <v>18968</v>
      </c>
      <c r="D43" s="348">
        <f>'Celkem ORJ - 14'!D14</f>
        <v>18968</v>
      </c>
      <c r="E43" s="671">
        <f>'Celkem ORJ - 14'!E14</f>
        <v>14966</v>
      </c>
      <c r="F43" s="573">
        <f t="shared" si="0"/>
        <v>-4002</v>
      </c>
      <c r="G43" s="677">
        <f t="shared" si="1"/>
        <v>-0.21098692534795449</v>
      </c>
      <c r="H43" s="195"/>
    </row>
    <row r="44" spans="1:8" ht="15.95" customHeight="1" x14ac:dyDescent="0.2">
      <c r="A44" s="100"/>
      <c r="B44" s="489" t="s">
        <v>146</v>
      </c>
      <c r="C44" s="113">
        <f>'Celkem ORJ - 14'!C15</f>
        <v>940</v>
      </c>
      <c r="D44" s="348">
        <f>'Celkem ORJ - 14'!D15</f>
        <v>736</v>
      </c>
      <c r="E44" s="671">
        <f>'Celkem ORJ - 14'!E15</f>
        <v>0</v>
      </c>
      <c r="F44" s="573">
        <f t="shared" si="0"/>
        <v>-940</v>
      </c>
      <c r="G44" s="677">
        <f t="shared" si="1"/>
        <v>-1</v>
      </c>
      <c r="H44" s="195"/>
    </row>
    <row r="45" spans="1:8" ht="15.95" customHeight="1" x14ac:dyDescent="0.25">
      <c r="A45" s="100"/>
      <c r="B45" s="488" t="s">
        <v>145</v>
      </c>
      <c r="C45" s="112">
        <f>C46+C47</f>
        <v>8144</v>
      </c>
      <c r="D45" s="665">
        <f>D46+D47</f>
        <v>8144</v>
      </c>
      <c r="E45" s="670">
        <f>E46+E47</f>
        <v>8144</v>
      </c>
      <c r="F45" s="690">
        <f t="shared" si="0"/>
        <v>0</v>
      </c>
      <c r="G45" s="691">
        <f t="shared" si="1"/>
        <v>0</v>
      </c>
      <c r="H45" s="195"/>
    </row>
    <row r="46" spans="1:8" s="347" customFormat="1" ht="15.95" customHeight="1" x14ac:dyDescent="0.2">
      <c r="A46" s="485"/>
      <c r="B46" s="354" t="s">
        <v>264</v>
      </c>
      <c r="C46" s="113">
        <f>'Celkem ORJ - 14'!C18</f>
        <v>2788</v>
      </c>
      <c r="D46" s="348">
        <f>'Celkem ORJ - 14'!D18</f>
        <v>2788</v>
      </c>
      <c r="E46" s="671">
        <f>'Celkem ORJ - 14'!E18</f>
        <v>8144</v>
      </c>
      <c r="F46" s="361">
        <f t="shared" si="0"/>
        <v>5356</v>
      </c>
      <c r="G46" s="579">
        <f t="shared" si="1"/>
        <v>1.9210903873744618</v>
      </c>
      <c r="H46" s="195"/>
    </row>
    <row r="47" spans="1:8" s="347" customFormat="1" ht="15.95" customHeight="1" thickBot="1" x14ac:dyDescent="0.25">
      <c r="A47" s="485"/>
      <c r="B47" s="354" t="s">
        <v>265</v>
      </c>
      <c r="C47" s="113">
        <f>'Celkem ORJ - 14'!C19</f>
        <v>5356</v>
      </c>
      <c r="D47" s="348">
        <f>'Celkem ORJ - 14'!D19</f>
        <v>5356</v>
      </c>
      <c r="E47" s="671">
        <f>'Celkem ORJ - 14'!E19</f>
        <v>0</v>
      </c>
      <c r="F47" s="361">
        <f t="shared" si="0"/>
        <v>-5356</v>
      </c>
      <c r="G47" s="579">
        <f t="shared" si="1"/>
        <v>-1</v>
      </c>
      <c r="H47" s="195"/>
    </row>
    <row r="48" spans="1:8" s="99" customFormat="1" ht="34.5" customHeight="1" thickBot="1" x14ac:dyDescent="0.3">
      <c r="A48" s="432"/>
      <c r="B48" s="492" t="s">
        <v>262</v>
      </c>
      <c r="C48" s="437">
        <v>0</v>
      </c>
      <c r="D48" s="438">
        <v>0</v>
      </c>
      <c r="E48" s="675">
        <v>30000</v>
      </c>
      <c r="F48" s="683">
        <f t="shared" si="0"/>
        <v>30000</v>
      </c>
      <c r="G48" s="684"/>
      <c r="H48" s="433"/>
    </row>
    <row r="49" spans="1:9" s="99" customFormat="1" ht="30" customHeight="1" thickTop="1" thickBot="1" x14ac:dyDescent="0.3">
      <c r="A49" s="434"/>
      <c r="B49" s="493" t="s">
        <v>144</v>
      </c>
      <c r="C49" s="428">
        <f>C39+C29+C21+C16+C9+C48</f>
        <v>1465709</v>
      </c>
      <c r="D49" s="667">
        <f>D39+D29+D21+D16+D9+D48</f>
        <v>1430010.96</v>
      </c>
      <c r="E49" s="676">
        <f>E39+E29+E21+E16+E9+E48</f>
        <v>2290698</v>
      </c>
      <c r="F49" s="486">
        <f t="shared" si="0"/>
        <v>824989</v>
      </c>
      <c r="G49" s="685">
        <f t="shared" si="1"/>
        <v>0.56286002200982588</v>
      </c>
      <c r="H49" s="435"/>
    </row>
    <row r="50" spans="1:9" ht="15.95" customHeight="1" thickTop="1" x14ac:dyDescent="0.25">
      <c r="A50" s="179"/>
      <c r="B50" s="216"/>
      <c r="C50" s="217"/>
      <c r="D50" s="217"/>
      <c r="E50" s="194"/>
      <c r="F50" s="194"/>
      <c r="G50" s="194"/>
      <c r="H50" s="194"/>
    </row>
    <row r="51" spans="1:9" ht="23.25" hidden="1" customHeight="1" x14ac:dyDescent="0.2">
      <c r="B51" s="707"/>
      <c r="C51" s="708"/>
      <c r="D51" s="389"/>
      <c r="E51" s="494"/>
      <c r="I51" s="179"/>
    </row>
    <row r="52" spans="1:9" hidden="1" x14ac:dyDescent="0.2">
      <c r="D52" s="190">
        <f>'Celkem ORJ -10'!D24+'Celkem ORJ - 11'!D22+'Celkem ORJ -12'!D25+'Celkem ORJ 13'!D30+'Celkem ORJ - 14'!D27</f>
        <v>0</v>
      </c>
      <c r="E52" s="494"/>
    </row>
    <row r="53" spans="1:9" ht="18.75" thickBot="1" x14ac:dyDescent="0.3">
      <c r="B53" s="523" t="s">
        <v>267</v>
      </c>
    </row>
    <row r="54" spans="1:9" ht="15.75" customHeight="1" thickTop="1" x14ac:dyDescent="0.25">
      <c r="B54" s="520"/>
      <c r="C54" s="699">
        <v>2014</v>
      </c>
      <c r="D54" s="700"/>
      <c r="E54" s="697"/>
      <c r="F54" s="699" t="s">
        <v>231</v>
      </c>
      <c r="G54" s="700"/>
    </row>
    <row r="55" spans="1:9" ht="15.75" customHeight="1" x14ac:dyDescent="0.25">
      <c r="B55" s="521"/>
      <c r="C55" s="701" t="s">
        <v>217</v>
      </c>
      <c r="D55" s="703" t="s">
        <v>229</v>
      </c>
      <c r="E55" s="705" t="s">
        <v>550</v>
      </c>
      <c r="F55" s="421"/>
      <c r="G55" s="332"/>
    </row>
    <row r="56" spans="1:9" ht="24" thickBot="1" x14ac:dyDescent="0.3">
      <c r="B56" s="522"/>
      <c r="C56" s="702"/>
      <c r="D56" s="704"/>
      <c r="E56" s="706"/>
      <c r="F56" s="422" t="s">
        <v>545</v>
      </c>
      <c r="G56" s="330" t="s">
        <v>540</v>
      </c>
    </row>
    <row r="57" spans="1:9" s="513" customFormat="1" ht="15.75" thickTop="1" x14ac:dyDescent="0.25">
      <c r="B57" s="514" t="s">
        <v>149</v>
      </c>
      <c r="C57" s="622">
        <f>SUM(C58:C64)</f>
        <v>1455868</v>
      </c>
      <c r="D57" s="621">
        <f>SUM(D58:D64)</f>
        <v>1420169.96</v>
      </c>
      <c r="E57" s="621">
        <f>SUM(E58:E64)</f>
        <v>1383296</v>
      </c>
      <c r="F57" s="362">
        <f t="shared" ref="F57:F64" si="3">E57-C57</f>
        <v>-72572</v>
      </c>
      <c r="G57" s="686">
        <f t="shared" ref="G57:G64" si="4">E57/C57-1</f>
        <v>-4.9847925773490509E-2</v>
      </c>
      <c r="H57" s="515"/>
    </row>
    <row r="58" spans="1:9" x14ac:dyDescent="0.2">
      <c r="B58" s="489" t="s">
        <v>531</v>
      </c>
      <c r="C58" s="572">
        <f>C41+C31+C23+C17+C11+C44+C36+C20+C14</f>
        <v>1077056</v>
      </c>
      <c r="D58" s="308">
        <f>D41+D31+D23+D17+D11+D44+D36+D20+D14</f>
        <v>1034414.41</v>
      </c>
      <c r="E58" s="308">
        <f>E41+E31+E23+E17+E11+E44+E36+E20+E14</f>
        <v>900025</v>
      </c>
      <c r="F58" s="573">
        <f t="shared" si="3"/>
        <v>-177031</v>
      </c>
      <c r="G58" s="677">
        <f t="shared" si="4"/>
        <v>-0.16436564115514884</v>
      </c>
    </row>
    <row r="59" spans="1:9" x14ac:dyDescent="0.2">
      <c r="B59" s="489" t="s">
        <v>147</v>
      </c>
      <c r="C59" s="572">
        <f>C42+C32+C24+C18+C12</f>
        <v>103588</v>
      </c>
      <c r="D59" s="308">
        <f t="shared" ref="D59:E59" si="5">D42+D32+D24+D18+D12</f>
        <v>107582.38</v>
      </c>
      <c r="E59" s="308">
        <f t="shared" si="5"/>
        <v>202984</v>
      </c>
      <c r="F59" s="573">
        <f t="shared" si="3"/>
        <v>99396</v>
      </c>
      <c r="G59" s="677">
        <f t="shared" si="4"/>
        <v>0.95953199212263973</v>
      </c>
    </row>
    <row r="60" spans="1:9" x14ac:dyDescent="0.2">
      <c r="B60" s="489" t="s">
        <v>240</v>
      </c>
      <c r="C60" s="572">
        <f>C35</f>
        <v>0</v>
      </c>
      <c r="D60" s="308">
        <f>D35</f>
        <v>185</v>
      </c>
      <c r="E60" s="308">
        <f>E35</f>
        <v>0</v>
      </c>
      <c r="F60" s="573">
        <f t="shared" si="3"/>
        <v>0</v>
      </c>
      <c r="G60" s="677"/>
    </row>
    <row r="61" spans="1:9" ht="14.25" x14ac:dyDescent="0.2">
      <c r="B61" s="354" t="s">
        <v>232</v>
      </c>
      <c r="C61" s="572">
        <f>C43+C33+C25+C19+C13</f>
        <v>274939</v>
      </c>
      <c r="D61" s="308">
        <f>D43+D33+D25+D19+D13</f>
        <v>277659.17000000004</v>
      </c>
      <c r="E61" s="308">
        <f>E43+E33+E25+E19+E13</f>
        <v>279537</v>
      </c>
      <c r="F61" s="573">
        <f t="shared" si="3"/>
        <v>4598</v>
      </c>
      <c r="G61" s="677">
        <f t="shared" si="4"/>
        <v>1.6723709622861849E-2</v>
      </c>
    </row>
    <row r="62" spans="1:9" x14ac:dyDescent="0.2">
      <c r="B62" s="489" t="s">
        <v>260</v>
      </c>
      <c r="C62" s="572">
        <f>C26</f>
        <v>0</v>
      </c>
      <c r="D62" s="308">
        <f>D26</f>
        <v>229</v>
      </c>
      <c r="E62" s="308">
        <f>E26</f>
        <v>0</v>
      </c>
      <c r="F62" s="573">
        <f t="shared" si="3"/>
        <v>0</v>
      </c>
      <c r="G62" s="677"/>
    </row>
    <row r="63" spans="1:9" x14ac:dyDescent="0.2">
      <c r="B63" s="489" t="s">
        <v>261</v>
      </c>
      <c r="C63" s="572">
        <f>C27+C34</f>
        <v>0</v>
      </c>
      <c r="D63" s="308">
        <f t="shared" ref="D63:E63" si="6">D27+D34</f>
        <v>0</v>
      </c>
      <c r="E63" s="308">
        <f t="shared" si="6"/>
        <v>550</v>
      </c>
      <c r="F63" s="573">
        <f t="shared" si="3"/>
        <v>550</v>
      </c>
      <c r="G63" s="677"/>
    </row>
    <row r="64" spans="1:9" x14ac:dyDescent="0.2">
      <c r="B64" s="489" t="s">
        <v>150</v>
      </c>
      <c r="C64" s="572">
        <f>C37</f>
        <v>285</v>
      </c>
      <c r="D64" s="308">
        <f>D37</f>
        <v>100</v>
      </c>
      <c r="E64" s="308">
        <f>E37</f>
        <v>200</v>
      </c>
      <c r="F64" s="573">
        <f t="shared" si="3"/>
        <v>-85</v>
      </c>
      <c r="G64" s="677">
        <f t="shared" si="4"/>
        <v>-0.29824561403508776</v>
      </c>
    </row>
    <row r="65" spans="2:8" s="517" customFormat="1" ht="15" x14ac:dyDescent="0.25">
      <c r="B65" s="516" t="s">
        <v>145</v>
      </c>
      <c r="C65" s="362">
        <f>SUM(C66:C67)</f>
        <v>9841</v>
      </c>
      <c r="D65" s="340">
        <f>SUM(D66:D67)</f>
        <v>9841</v>
      </c>
      <c r="E65" s="340">
        <f t="shared" ref="E65" si="7">SUM(E66:E67)</f>
        <v>9848</v>
      </c>
      <c r="F65" s="692">
        <f t="shared" ref="F65:F67" si="8">E65-C65</f>
        <v>7</v>
      </c>
      <c r="G65" s="693">
        <f t="shared" ref="G65:G67" si="9">E65/C65-1</f>
        <v>7.113098262372386E-4</v>
      </c>
      <c r="H65" s="518"/>
    </row>
    <row r="66" spans="2:8" ht="14.25" x14ac:dyDescent="0.2">
      <c r="B66" s="354" t="s">
        <v>264</v>
      </c>
      <c r="C66" s="572">
        <f>C46+C38+C15</f>
        <v>4485</v>
      </c>
      <c r="D66" s="308">
        <f>D46+D38+D15</f>
        <v>4485</v>
      </c>
      <c r="E66" s="308">
        <f>E46+E38+E15</f>
        <v>9848</v>
      </c>
      <c r="F66" s="573">
        <f t="shared" si="8"/>
        <v>5363</v>
      </c>
      <c r="G66" s="677">
        <f t="shared" si="9"/>
        <v>1.1957636566332219</v>
      </c>
    </row>
    <row r="67" spans="2:8" ht="14.25" x14ac:dyDescent="0.2">
      <c r="B67" s="354" t="s">
        <v>265</v>
      </c>
      <c r="C67" s="572">
        <f t="shared" ref="C67:E68" si="10">C47</f>
        <v>5356</v>
      </c>
      <c r="D67" s="308">
        <f t="shared" si="10"/>
        <v>5356</v>
      </c>
      <c r="E67" s="308">
        <f t="shared" si="10"/>
        <v>0</v>
      </c>
      <c r="F67" s="573">
        <f t="shared" si="8"/>
        <v>-5356</v>
      </c>
      <c r="G67" s="677">
        <f t="shared" si="9"/>
        <v>-1</v>
      </c>
    </row>
    <row r="68" spans="2:8" ht="15" x14ac:dyDescent="0.25">
      <c r="B68" s="488" t="s">
        <v>268</v>
      </c>
      <c r="C68" s="362">
        <f t="shared" si="10"/>
        <v>0</v>
      </c>
      <c r="D68" s="340">
        <f t="shared" si="10"/>
        <v>0</v>
      </c>
      <c r="E68" s="340">
        <f t="shared" si="10"/>
        <v>30000</v>
      </c>
      <c r="F68" s="573">
        <f t="shared" ref="F68:F72" si="11">E68-C68</f>
        <v>30000</v>
      </c>
      <c r="G68" s="677"/>
    </row>
    <row r="69" spans="2:8" s="37" customFormat="1" ht="15" x14ac:dyDescent="0.25">
      <c r="B69" s="623" t="s">
        <v>530</v>
      </c>
      <c r="C69" s="624">
        <f>C68+C65+C57</f>
        <v>1465709</v>
      </c>
      <c r="D69" s="625">
        <f>D68+D65+D57</f>
        <v>1430010.96</v>
      </c>
      <c r="E69" s="625">
        <f>E68+E65+E57</f>
        <v>1423144</v>
      </c>
      <c r="F69" s="624">
        <f t="shared" si="11"/>
        <v>-42565</v>
      </c>
      <c r="G69" s="694">
        <f t="shared" ref="G69:G72" si="12">E69/C69-1</f>
        <v>-2.9040553070220576E-2</v>
      </c>
      <c r="H69" s="620"/>
    </row>
    <row r="70" spans="2:8" x14ac:dyDescent="0.2">
      <c r="B70" s="488" t="s">
        <v>529</v>
      </c>
      <c r="C70" s="572">
        <f>C28</f>
        <v>0</v>
      </c>
      <c r="D70" s="308">
        <f>D28</f>
        <v>0</v>
      </c>
      <c r="E70" s="308">
        <f>E28</f>
        <v>867554</v>
      </c>
      <c r="F70" s="573">
        <f t="shared" si="11"/>
        <v>867554</v>
      </c>
      <c r="G70" s="677"/>
    </row>
    <row r="71" spans="2:8" s="37" customFormat="1" ht="15.75" thickBot="1" x14ac:dyDescent="0.3">
      <c r="B71" s="623" t="s">
        <v>530</v>
      </c>
      <c r="C71" s="624">
        <f>C70</f>
        <v>0</v>
      </c>
      <c r="D71" s="625">
        <f t="shared" ref="D71:E71" si="13">D70</f>
        <v>0</v>
      </c>
      <c r="E71" s="625">
        <f t="shared" si="13"/>
        <v>867554</v>
      </c>
      <c r="F71" s="695">
        <f t="shared" si="11"/>
        <v>867554</v>
      </c>
      <c r="G71" s="696"/>
      <c r="H71" s="620"/>
    </row>
    <row r="72" spans="2:8" s="77" customFormat="1" ht="29.25" customHeight="1" thickTop="1" thickBot="1" x14ac:dyDescent="0.3">
      <c r="B72" s="493" t="s">
        <v>144</v>
      </c>
      <c r="C72" s="486">
        <f>C71+C69</f>
        <v>1465709</v>
      </c>
      <c r="D72" s="429">
        <f t="shared" ref="D72:E72" si="14">D71+D69</f>
        <v>1430010.96</v>
      </c>
      <c r="E72" s="429">
        <f t="shared" si="14"/>
        <v>2290698</v>
      </c>
      <c r="F72" s="486">
        <f t="shared" si="11"/>
        <v>824989</v>
      </c>
      <c r="G72" s="685">
        <f t="shared" si="12"/>
        <v>0.56286002200982588</v>
      </c>
      <c r="H72" s="519"/>
    </row>
    <row r="73" spans="2:8" ht="13.5" thickTop="1" x14ac:dyDescent="0.2"/>
    <row r="74" spans="2:8" x14ac:dyDescent="0.2">
      <c r="C74" s="190"/>
    </row>
  </sheetData>
  <sheetProtection selectLockedCells="1"/>
  <mergeCells count="13">
    <mergeCell ref="B51:C51"/>
    <mergeCell ref="F5:G5"/>
    <mergeCell ref="F4:G4"/>
    <mergeCell ref="B6:B7"/>
    <mergeCell ref="C6:C7"/>
    <mergeCell ref="D6:D7"/>
    <mergeCell ref="C5:D5"/>
    <mergeCell ref="E6:E7"/>
    <mergeCell ref="C54:D54"/>
    <mergeCell ref="F54:G54"/>
    <mergeCell ref="C55:C56"/>
    <mergeCell ref="D55:D56"/>
    <mergeCell ref="E55:E5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5" firstPageNumber="59" fitToHeight="9999" orientation="portrait" useFirstPageNumber="1" r:id="rId1"/>
  <headerFooter>
    <oddFooter>&amp;L&amp;"Arial,Kurzíva"&amp;12Zastupitelstvo Olomouckého kraje 12-12-2014
6. - Rozpočet Olomouckého kraje 2015 - návrh rozpočtu
Příloha č. 3b): Příspěvkové organizace zřizované Olomouckým krajem&amp;R&amp;"Arial,Kurzíva"&amp;12Strana &amp;P (celkem 127)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"/>
  <sheetViews>
    <sheetView workbookViewId="0">
      <selection activeCell="G36" sqref="G36"/>
    </sheetView>
  </sheetViews>
  <sheetFormatPr defaultRowHeight="12.75" x14ac:dyDescent="0.2"/>
  <cols>
    <col min="2" max="2" width="10.140625" bestFit="1" customWidth="1"/>
    <col min="3" max="3" width="9.28515625" bestFit="1" customWidth="1"/>
    <col min="4" max="4" width="10.140625" bestFit="1" customWidth="1"/>
  </cols>
  <sheetData>
    <row r="5" spans="1:4" x14ac:dyDescent="0.2">
      <c r="B5" s="115" t="s">
        <v>220</v>
      </c>
      <c r="C5" s="115" t="s">
        <v>221</v>
      </c>
      <c r="D5" s="115" t="s">
        <v>227</v>
      </c>
    </row>
    <row r="6" spans="1:4" x14ac:dyDescent="0.2">
      <c r="A6" s="115" t="s">
        <v>222</v>
      </c>
      <c r="B6" s="108">
        <v>90328</v>
      </c>
      <c r="C6" s="108">
        <v>22767</v>
      </c>
      <c r="D6" s="108">
        <v>141069</v>
      </c>
    </row>
    <row r="7" spans="1:4" x14ac:dyDescent="0.2">
      <c r="A7" s="115" t="s">
        <v>223</v>
      </c>
      <c r="B7" s="108">
        <v>52397</v>
      </c>
      <c r="C7" s="108">
        <v>9888</v>
      </c>
      <c r="D7" s="108">
        <v>120458</v>
      </c>
    </row>
    <row r="8" spans="1:4" x14ac:dyDescent="0.2">
      <c r="A8" s="115" t="s">
        <v>224</v>
      </c>
      <c r="B8" s="108">
        <v>20315</v>
      </c>
      <c r="C8" s="108">
        <v>2497</v>
      </c>
      <c r="D8" s="108">
        <v>43172</v>
      </c>
    </row>
    <row r="9" spans="1:4" x14ac:dyDescent="0.2">
      <c r="B9" s="108">
        <f>SUM(B6:B8)</f>
        <v>163040</v>
      </c>
      <c r="C9" s="108">
        <f>SUM(C6:C8)</f>
        <v>35152</v>
      </c>
      <c r="D9" s="108">
        <f>SUM(D6:D8)</f>
        <v>304699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G38"/>
  <sheetViews>
    <sheetView showGridLines="0" tabSelected="1" zoomScaleNormal="100" workbookViewId="0">
      <selection activeCell="J29" sqref="J29"/>
    </sheetView>
  </sheetViews>
  <sheetFormatPr defaultRowHeight="12.75" x14ac:dyDescent="0.2"/>
  <cols>
    <col min="1" max="1" width="0.140625" customWidth="1"/>
    <col min="2" max="2" width="47" customWidth="1"/>
    <col min="3" max="7" width="17.42578125" customWidth="1"/>
  </cols>
  <sheetData>
    <row r="2" spans="2:7" ht="20.25" x14ac:dyDescent="0.3">
      <c r="B2" s="189" t="s">
        <v>151</v>
      </c>
      <c r="C2" s="188"/>
      <c r="D2" s="188"/>
      <c r="E2" s="188"/>
      <c r="F2" s="188"/>
      <c r="G2" s="187" t="s">
        <v>157</v>
      </c>
    </row>
    <row r="3" spans="2:7" x14ac:dyDescent="0.2">
      <c r="B3" s="186" t="s">
        <v>205</v>
      </c>
      <c r="G3" s="288"/>
    </row>
    <row r="4" spans="2:7" x14ac:dyDescent="0.2">
      <c r="B4" s="186" t="s">
        <v>52</v>
      </c>
      <c r="G4" s="288"/>
    </row>
    <row r="5" spans="2:7" ht="13.5" thickBot="1" x14ac:dyDescent="0.25">
      <c r="G5" s="185" t="s">
        <v>4</v>
      </c>
    </row>
    <row r="6" spans="2:7" s="24" customFormat="1" ht="26.1" customHeight="1" thickTop="1" x14ac:dyDescent="0.25">
      <c r="B6" s="320"/>
      <c r="C6" s="699">
        <v>2014</v>
      </c>
      <c r="D6" s="700"/>
      <c r="E6" s="646"/>
      <c r="F6" s="763" t="s">
        <v>231</v>
      </c>
      <c r="G6" s="764"/>
    </row>
    <row r="7" spans="2:7" s="24" customFormat="1" ht="12.75" customHeight="1" x14ac:dyDescent="0.2">
      <c r="B7" s="722" t="s">
        <v>51</v>
      </c>
      <c r="C7" s="701" t="s">
        <v>217</v>
      </c>
      <c r="D7" s="703" t="s">
        <v>229</v>
      </c>
      <c r="E7" s="705" t="s">
        <v>536</v>
      </c>
      <c r="F7" s="649"/>
      <c r="G7" s="650"/>
    </row>
    <row r="8" spans="2:7" s="24" customFormat="1" ht="34.5" customHeight="1" thickBot="1" x14ac:dyDescent="0.25">
      <c r="B8" s="723"/>
      <c r="C8" s="702"/>
      <c r="D8" s="704"/>
      <c r="E8" s="706"/>
      <c r="F8" s="651" t="s">
        <v>553</v>
      </c>
      <c r="G8" s="652" t="s">
        <v>554</v>
      </c>
    </row>
    <row r="9" spans="2:7" s="24" customFormat="1" ht="14.25" thickTop="1" thickBot="1" x14ac:dyDescent="0.25">
      <c r="B9" s="321"/>
      <c r="C9" s="359" t="s">
        <v>230</v>
      </c>
      <c r="D9" s="224" t="s">
        <v>50</v>
      </c>
      <c r="E9" s="224" t="s">
        <v>49</v>
      </c>
      <c r="F9" s="653" t="s">
        <v>541</v>
      </c>
      <c r="G9" s="411" t="s">
        <v>542</v>
      </c>
    </row>
    <row r="10" spans="2:7" s="379" customFormat="1" ht="15.75" x14ac:dyDescent="0.25">
      <c r="B10" s="402" t="s">
        <v>253</v>
      </c>
      <c r="C10" s="405">
        <f>SUM(C11:C15)</f>
        <v>491687</v>
      </c>
      <c r="D10" s="404">
        <f>SUM(D11:D15)</f>
        <v>491916</v>
      </c>
      <c r="E10" s="404">
        <f>SUM(E11:E15)</f>
        <v>479464</v>
      </c>
      <c r="F10" s="314">
        <f>E10-C10</f>
        <v>-12223</v>
      </c>
      <c r="G10" s="335">
        <f>E10/C10-1</f>
        <v>-2.4859310903074472E-2</v>
      </c>
    </row>
    <row r="11" spans="2:7" s="83" customFormat="1" ht="15.95" customHeight="1" x14ac:dyDescent="0.2">
      <c r="B11" s="382" t="s">
        <v>46</v>
      </c>
      <c r="C11" s="406">
        <f>'PO - doprava'!G15</f>
        <v>365474</v>
      </c>
      <c r="D11" s="383">
        <f>'PO - doprava'!K15</f>
        <v>365474</v>
      </c>
      <c r="E11" s="383">
        <f>'PO - doprava'!U15</f>
        <v>349508</v>
      </c>
      <c r="F11" s="316">
        <f t="shared" ref="F11:F13" si="0">E11-C11</f>
        <v>-15966</v>
      </c>
      <c r="G11" s="648">
        <f t="shared" ref="G11:G13" si="1">E11/C11-1</f>
        <v>-4.3685734142510868E-2</v>
      </c>
    </row>
    <row r="12" spans="2:7" s="83" customFormat="1" ht="15.95" customHeight="1" x14ac:dyDescent="0.2">
      <c r="B12" s="382" t="s">
        <v>45</v>
      </c>
      <c r="C12" s="406">
        <f>'PO - doprava'!H15</f>
        <v>5066</v>
      </c>
      <c r="D12" s="383">
        <f>'PO - doprava'!L15</f>
        <v>5066</v>
      </c>
      <c r="E12" s="383">
        <f>'PO - doprava'!V15</f>
        <v>6090</v>
      </c>
      <c r="F12" s="316">
        <f t="shared" si="0"/>
        <v>1024</v>
      </c>
      <c r="G12" s="648">
        <f t="shared" si="1"/>
        <v>0.20213185945519152</v>
      </c>
    </row>
    <row r="13" spans="2:7" s="83" customFormat="1" ht="15.95" customHeight="1" x14ac:dyDescent="0.2">
      <c r="B13" s="382" t="s">
        <v>44</v>
      </c>
      <c r="C13" s="406">
        <f>'PO - doprava'!I15</f>
        <v>121147</v>
      </c>
      <c r="D13" s="383">
        <f>'PO - doprava'!N15</f>
        <v>121147</v>
      </c>
      <c r="E13" s="383">
        <f>'PO - doprava'!Y15</f>
        <v>123516</v>
      </c>
      <c r="F13" s="316">
        <f t="shared" si="0"/>
        <v>2369</v>
      </c>
      <c r="G13" s="648">
        <f t="shared" si="1"/>
        <v>1.9554755792549505E-2</v>
      </c>
    </row>
    <row r="14" spans="2:7" s="83" customFormat="1" ht="15.95" customHeight="1" x14ac:dyDescent="0.2">
      <c r="B14" s="382" t="s">
        <v>252</v>
      </c>
      <c r="C14" s="406"/>
      <c r="D14" s="383">
        <f>'PO - doprava'!M15</f>
        <v>229</v>
      </c>
      <c r="E14" s="383"/>
      <c r="F14" s="484"/>
      <c r="G14" s="337"/>
    </row>
    <row r="15" spans="2:7" s="83" customFormat="1" ht="15.95" customHeight="1" x14ac:dyDescent="0.2">
      <c r="B15" s="382" t="s">
        <v>245</v>
      </c>
      <c r="C15" s="406"/>
      <c r="D15" s="383">
        <v>0</v>
      </c>
      <c r="E15" s="383">
        <f>'PO - doprava'!X15</f>
        <v>350</v>
      </c>
      <c r="F15" s="316">
        <f t="shared" ref="F15" si="2">E15-C15</f>
        <v>350</v>
      </c>
      <c r="G15" s="648"/>
    </row>
    <row r="16" spans="2:7" s="379" customFormat="1" ht="15.95" customHeight="1" x14ac:dyDescent="0.25">
      <c r="B16" s="402" t="s">
        <v>254</v>
      </c>
      <c r="C16" s="405">
        <f>C17</f>
        <v>0</v>
      </c>
      <c r="D16" s="404">
        <f>D17</f>
        <v>0</v>
      </c>
      <c r="E16" s="404">
        <f>E17</f>
        <v>867554</v>
      </c>
      <c r="F16" s="314">
        <f>E16-C16</f>
        <v>867554</v>
      </c>
      <c r="G16" s="335"/>
    </row>
    <row r="17" spans="2:7" s="83" customFormat="1" ht="15.95" customHeight="1" x14ac:dyDescent="0.2">
      <c r="B17" s="382" t="s">
        <v>244</v>
      </c>
      <c r="C17" s="406"/>
      <c r="D17" s="383"/>
      <c r="E17" s="383">
        <f>'PO - doprava'!W15</f>
        <v>867554</v>
      </c>
      <c r="F17" s="316">
        <f t="shared" ref="F17" si="3">E17-C17</f>
        <v>867554</v>
      </c>
      <c r="G17" s="648"/>
    </row>
    <row r="18" spans="2:7" x14ac:dyDescent="0.2">
      <c r="B18" s="128"/>
      <c r="C18" s="407"/>
      <c r="D18" s="408"/>
      <c r="E18" s="408"/>
      <c r="F18" s="407"/>
      <c r="G18" s="107"/>
    </row>
    <row r="19" spans="2:7" s="90" customFormat="1" ht="15.95" customHeight="1" thickBot="1" x14ac:dyDescent="0.3">
      <c r="B19" s="380" t="s">
        <v>40</v>
      </c>
      <c r="C19" s="409">
        <f>C16+C10</f>
        <v>491687</v>
      </c>
      <c r="D19" s="381">
        <f>D16+D10</f>
        <v>491916</v>
      </c>
      <c r="E19" s="381">
        <f>E16+E10</f>
        <v>1347018</v>
      </c>
      <c r="F19" s="327">
        <f>E19-C19</f>
        <v>855331</v>
      </c>
      <c r="G19" s="336">
        <f>E19/C19-1</f>
        <v>1.7395843290548663</v>
      </c>
    </row>
    <row r="20" spans="2:7" ht="15" hidden="1" thickTop="1" x14ac:dyDescent="0.2">
      <c r="C20" s="219"/>
      <c r="D20" s="219"/>
    </row>
    <row r="21" spans="2:7" ht="15.75" hidden="1" thickTop="1" thickBot="1" x14ac:dyDescent="0.25">
      <c r="C21" s="213"/>
      <c r="D21" s="213"/>
    </row>
    <row r="22" spans="2:7" ht="13.5" hidden="1" thickTop="1" x14ac:dyDescent="0.2"/>
    <row r="23" spans="2:7" ht="15.75" hidden="1" thickTop="1" x14ac:dyDescent="0.2">
      <c r="B23" s="191" t="s">
        <v>209</v>
      </c>
    </row>
    <row r="24" spans="2:7" ht="15.75" thickTop="1" x14ac:dyDescent="0.2">
      <c r="B24" s="191"/>
    </row>
    <row r="25" spans="2:7" ht="32.25" customHeight="1" x14ac:dyDescent="0.2">
      <c r="B25" s="745"/>
      <c r="C25" s="746"/>
      <c r="D25" s="318"/>
      <c r="E25" s="311"/>
      <c r="F25" s="287"/>
      <c r="G25" s="287"/>
    </row>
    <row r="27" spans="2:7" x14ac:dyDescent="0.2">
      <c r="B27" s="758"/>
      <c r="C27" s="759"/>
      <c r="D27" s="759"/>
      <c r="E27" s="759"/>
      <c r="F27" s="759"/>
    </row>
    <row r="28" spans="2:7" x14ac:dyDescent="0.2">
      <c r="B28" s="758"/>
      <c r="C28" s="759"/>
      <c r="D28" s="759"/>
      <c r="E28" s="759"/>
      <c r="F28" s="759"/>
    </row>
    <row r="29" spans="2:7" ht="12.75" customHeight="1" x14ac:dyDescent="0.2">
      <c r="B29" s="760"/>
      <c r="C29" s="760"/>
      <c r="D29" s="760"/>
      <c r="E29" s="760"/>
      <c r="F29" s="760"/>
      <c r="G29" s="761"/>
    </row>
    <row r="30" spans="2:7" x14ac:dyDescent="0.2">
      <c r="B30" s="760"/>
      <c r="C30" s="760"/>
      <c r="D30" s="760"/>
      <c r="E30" s="760"/>
      <c r="F30" s="760"/>
      <c r="G30" s="761"/>
    </row>
    <row r="31" spans="2:7" ht="14.25" customHeight="1" x14ac:dyDescent="0.2">
      <c r="B31" s="760"/>
      <c r="C31" s="760"/>
      <c r="D31" s="760"/>
      <c r="E31" s="760"/>
      <c r="F31" s="760"/>
      <c r="G31" s="761"/>
    </row>
    <row r="32" spans="2:7" x14ac:dyDescent="0.2">
      <c r="B32" s="184"/>
      <c r="C32" s="184"/>
      <c r="D32" s="184"/>
      <c r="E32" s="184"/>
      <c r="F32" s="184"/>
    </row>
    <row r="33" spans="2:7" x14ac:dyDescent="0.2">
      <c r="B33" s="762"/>
      <c r="C33" s="762"/>
      <c r="D33" s="762"/>
      <c r="E33" s="762"/>
      <c r="F33" s="762"/>
    </row>
    <row r="34" spans="2:7" x14ac:dyDescent="0.2">
      <c r="B34" s="758"/>
      <c r="C34" s="759"/>
      <c r="D34" s="759"/>
      <c r="E34" s="759"/>
      <c r="F34" s="759"/>
    </row>
    <row r="35" spans="2:7" x14ac:dyDescent="0.2">
      <c r="B35" s="758"/>
      <c r="C35" s="759"/>
      <c r="D35" s="759"/>
      <c r="E35" s="759"/>
      <c r="F35" s="759"/>
    </row>
    <row r="36" spans="2:7" ht="14.25" customHeight="1" x14ac:dyDescent="0.2">
      <c r="B36" s="758"/>
      <c r="C36" s="759"/>
      <c r="D36" s="759"/>
      <c r="E36" s="759"/>
      <c r="F36" s="759"/>
    </row>
    <row r="37" spans="2:7" ht="12.75" customHeight="1" x14ac:dyDescent="0.2"/>
    <row r="38" spans="2:7" x14ac:dyDescent="0.2">
      <c r="B38" s="757"/>
      <c r="C38" s="743"/>
      <c r="D38" s="743"/>
      <c r="E38" s="743"/>
      <c r="F38" s="743"/>
      <c r="G38" s="743"/>
    </row>
  </sheetData>
  <mergeCells count="15">
    <mergeCell ref="E7:E8"/>
    <mergeCell ref="B25:C25"/>
    <mergeCell ref="B38:G38"/>
    <mergeCell ref="B34:F34"/>
    <mergeCell ref="C6:D6"/>
    <mergeCell ref="B29:G31"/>
    <mergeCell ref="B7:B8"/>
    <mergeCell ref="C7:C8"/>
    <mergeCell ref="D7:D8"/>
    <mergeCell ref="B35:F35"/>
    <mergeCell ref="B36:F36"/>
    <mergeCell ref="B27:F27"/>
    <mergeCell ref="B28:F28"/>
    <mergeCell ref="B33:F33"/>
    <mergeCell ref="F6:G6"/>
  </mergeCells>
  <pageMargins left="0.70866141732283472" right="0.70866141732283472" top="0.78740157480314965" bottom="0.78740157480314965" header="0.31496062992125984" footer="0.31496062992125984"/>
  <pageSetup paperSize="9" scale="99" firstPageNumber="69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Z16"/>
  <sheetViews>
    <sheetView showGridLines="0" tabSelected="1" topLeftCell="J1" workbookViewId="0">
      <selection activeCell="J29" sqref="J29"/>
    </sheetView>
  </sheetViews>
  <sheetFormatPr defaultRowHeight="12.75" x14ac:dyDescent="0.2"/>
  <cols>
    <col min="1" max="1" width="2.7109375" customWidth="1"/>
    <col min="2" max="2" width="14.7109375" customWidth="1"/>
    <col min="3" max="3" width="6.7109375" customWidth="1"/>
    <col min="4" max="4" width="10.7109375" hidden="1" customWidth="1"/>
    <col min="5" max="5" width="34.28515625" customWidth="1"/>
    <col min="6" max="6" width="12.7109375" style="1" customWidth="1"/>
    <col min="7" max="9" width="9.7109375" style="1" customWidth="1"/>
    <col min="10" max="10" width="12.7109375" style="1" customWidth="1"/>
    <col min="11" max="14" width="9.7109375" style="1" customWidth="1"/>
    <col min="15" max="15" width="12.7109375" style="1" hidden="1" customWidth="1"/>
    <col min="16" max="19" width="9.7109375" style="1" hidden="1" customWidth="1"/>
    <col min="20" max="20" width="12.7109375" style="1" customWidth="1"/>
    <col min="21" max="25" width="9.7109375" style="1" customWidth="1"/>
    <col min="26" max="26" width="0" hidden="1" customWidth="1"/>
  </cols>
  <sheetData>
    <row r="2" spans="2:26" ht="21.75" x14ac:dyDescent="0.3">
      <c r="B2" s="2" t="s">
        <v>151</v>
      </c>
      <c r="C2" s="3"/>
      <c r="D2" s="3"/>
      <c r="E2" s="3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6" t="s">
        <v>157</v>
      </c>
      <c r="R2" s="5"/>
      <c r="S2" s="5" t="s">
        <v>157</v>
      </c>
      <c r="T2" s="5"/>
      <c r="U2" s="5"/>
      <c r="V2" s="5"/>
      <c r="W2" s="5"/>
      <c r="X2" s="5"/>
      <c r="Y2" s="5" t="s">
        <v>157</v>
      </c>
    </row>
    <row r="3" spans="2:26" ht="15.75" x14ac:dyDescent="0.25">
      <c r="B3" s="7" t="s">
        <v>2</v>
      </c>
      <c r="C3" s="7" t="s">
        <v>203</v>
      </c>
      <c r="D3" s="8"/>
      <c r="E3" s="9"/>
      <c r="F3" s="10"/>
      <c r="G3" s="10"/>
      <c r="H3" s="10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6" ht="15.75" x14ac:dyDescent="0.25">
      <c r="B4" s="8"/>
      <c r="C4" s="7" t="s">
        <v>3</v>
      </c>
      <c r="D4" s="8"/>
      <c r="E4" s="9"/>
      <c r="F4" s="10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2:26" ht="18" x14ac:dyDescent="0.25"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7" spans="2:26" ht="13.5" thickBot="1" x14ac:dyDescent="0.25">
      <c r="B7" s="96"/>
      <c r="C7" s="96"/>
      <c r="D7" s="96"/>
      <c r="E7" s="96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 t="s">
        <v>4</v>
      </c>
      <c r="T7" s="95"/>
      <c r="U7" s="95"/>
      <c r="V7" s="95"/>
      <c r="W7" s="95"/>
      <c r="X7" s="95"/>
      <c r="Y7" s="95" t="s">
        <v>4</v>
      </c>
    </row>
    <row r="8" spans="2:26" ht="13.5" thickTop="1" x14ac:dyDescent="0.2">
      <c r="B8" s="364"/>
      <c r="C8" s="365"/>
      <c r="D8" s="366"/>
      <c r="E8" s="366"/>
      <c r="F8" s="765" t="s">
        <v>217</v>
      </c>
      <c r="G8" s="766"/>
      <c r="H8" s="766"/>
      <c r="I8" s="773"/>
      <c r="J8" s="765" t="s">
        <v>241</v>
      </c>
      <c r="K8" s="766"/>
      <c r="L8" s="766"/>
      <c r="M8" s="766"/>
      <c r="N8" s="773"/>
      <c r="O8" s="765" t="s">
        <v>5</v>
      </c>
      <c r="P8" s="766"/>
      <c r="Q8" s="766"/>
      <c r="R8" s="766"/>
      <c r="S8" s="773"/>
      <c r="T8" s="765" t="s">
        <v>538</v>
      </c>
      <c r="U8" s="766"/>
      <c r="V8" s="766"/>
      <c r="W8" s="766"/>
      <c r="X8" s="766"/>
      <c r="Y8" s="767"/>
      <c r="Z8" s="604"/>
    </row>
    <row r="9" spans="2:26" ht="18" customHeight="1" x14ac:dyDescent="0.2">
      <c r="B9" s="774" t="s">
        <v>6</v>
      </c>
      <c r="C9" s="775"/>
      <c r="D9" s="289" t="s">
        <v>7</v>
      </c>
      <c r="E9" s="232" t="s">
        <v>8</v>
      </c>
      <c r="F9" s="235"/>
      <c r="G9" s="233" t="s">
        <v>9</v>
      </c>
      <c r="H9" s="235"/>
      <c r="I9" s="235"/>
      <c r="J9" s="234"/>
      <c r="K9" s="233" t="s">
        <v>9</v>
      </c>
      <c r="L9" s="235"/>
      <c r="M9" s="235"/>
      <c r="N9" s="235"/>
      <c r="O9" s="234"/>
      <c r="P9" s="233" t="s">
        <v>9</v>
      </c>
      <c r="Q9" s="235"/>
      <c r="R9" s="235"/>
      <c r="S9" s="236"/>
      <c r="T9" s="234"/>
      <c r="U9" s="233" t="s">
        <v>9</v>
      </c>
      <c r="V9" s="235"/>
      <c r="W9" s="235"/>
      <c r="X9" s="235"/>
      <c r="Y9" s="606"/>
      <c r="Z9" s="604"/>
    </row>
    <row r="10" spans="2:26" ht="48" customHeight="1" x14ac:dyDescent="0.2">
      <c r="B10" s="367"/>
      <c r="C10" s="368"/>
      <c r="D10" s="237"/>
      <c r="E10" s="237"/>
      <c r="F10" s="239" t="s">
        <v>10</v>
      </c>
      <c r="G10" s="240" t="s">
        <v>11</v>
      </c>
      <c r="H10" s="240" t="s">
        <v>12</v>
      </c>
      <c r="I10" s="240" t="s">
        <v>14</v>
      </c>
      <c r="J10" s="239" t="s">
        <v>10</v>
      </c>
      <c r="K10" s="240" t="s">
        <v>11</v>
      </c>
      <c r="L10" s="240" t="s">
        <v>12</v>
      </c>
      <c r="M10" s="240" t="s">
        <v>251</v>
      </c>
      <c r="N10" s="240" t="s">
        <v>14</v>
      </c>
      <c r="O10" s="239" t="s">
        <v>10</v>
      </c>
      <c r="P10" s="240" t="s">
        <v>11</v>
      </c>
      <c r="Q10" s="240" t="s">
        <v>12</v>
      </c>
      <c r="R10" s="240" t="s">
        <v>13</v>
      </c>
      <c r="S10" s="241" t="s">
        <v>14</v>
      </c>
      <c r="T10" s="239" t="s">
        <v>10</v>
      </c>
      <c r="U10" s="240" t="s">
        <v>11</v>
      </c>
      <c r="V10" s="240" t="s">
        <v>12</v>
      </c>
      <c r="W10" s="240"/>
      <c r="X10" s="240"/>
      <c r="Y10" s="607" t="s">
        <v>14</v>
      </c>
      <c r="Z10" s="604"/>
    </row>
    <row r="11" spans="2:26" ht="13.5" thickBot="1" x14ac:dyDescent="0.25">
      <c r="B11" s="369" t="s">
        <v>15</v>
      </c>
      <c r="C11" s="243" t="s">
        <v>16</v>
      </c>
      <c r="D11" s="226"/>
      <c r="E11" s="226"/>
      <c r="F11" s="227"/>
      <c r="G11" s="228" t="s">
        <v>17</v>
      </c>
      <c r="H11" s="228" t="s">
        <v>18</v>
      </c>
      <c r="I11" s="228" t="s">
        <v>20</v>
      </c>
      <c r="J11" s="227"/>
      <c r="K11" s="228" t="s">
        <v>17</v>
      </c>
      <c r="L11" s="228" t="s">
        <v>18</v>
      </c>
      <c r="M11" s="228" t="s">
        <v>250</v>
      </c>
      <c r="N11" s="228" t="s">
        <v>20</v>
      </c>
      <c r="O11" s="227"/>
      <c r="P11" s="228" t="s">
        <v>17</v>
      </c>
      <c r="Q11" s="228" t="s">
        <v>18</v>
      </c>
      <c r="R11" s="228" t="s">
        <v>19</v>
      </c>
      <c r="S11" s="229" t="s">
        <v>20</v>
      </c>
      <c r="T11" s="227"/>
      <c r="U11" s="228" t="s">
        <v>17</v>
      </c>
      <c r="V11" s="228" t="s">
        <v>18</v>
      </c>
      <c r="W11" s="228" t="s">
        <v>242</v>
      </c>
      <c r="X11" s="228" t="s">
        <v>243</v>
      </c>
      <c r="Y11" s="608" t="s">
        <v>20</v>
      </c>
      <c r="Z11" s="604"/>
    </row>
    <row r="12" spans="2:26" ht="13.5" thickBot="1" x14ac:dyDescent="0.25">
      <c r="B12" s="370"/>
      <c r="C12" s="246"/>
      <c r="D12" s="245"/>
      <c r="E12" s="245"/>
      <c r="F12" s="247" t="s">
        <v>21</v>
      </c>
      <c r="G12" s="768" t="s">
        <v>21</v>
      </c>
      <c r="H12" s="769"/>
      <c r="I12" s="776"/>
      <c r="J12" s="247" t="s">
        <v>21</v>
      </c>
      <c r="K12" s="768" t="s">
        <v>21</v>
      </c>
      <c r="L12" s="769"/>
      <c r="M12" s="769"/>
      <c r="N12" s="776"/>
      <c r="O12" s="247" t="s">
        <v>21</v>
      </c>
      <c r="P12" s="768" t="s">
        <v>21</v>
      </c>
      <c r="Q12" s="769"/>
      <c r="R12" s="769"/>
      <c r="S12" s="776"/>
      <c r="T12" s="247" t="s">
        <v>21</v>
      </c>
      <c r="U12" s="768" t="s">
        <v>21</v>
      </c>
      <c r="V12" s="769"/>
      <c r="W12" s="769"/>
      <c r="X12" s="769"/>
      <c r="Y12" s="770"/>
      <c r="Z12" s="604"/>
    </row>
    <row r="13" spans="2:26" ht="15" thickBot="1" x14ac:dyDescent="0.25">
      <c r="B13" s="371" t="s">
        <v>160</v>
      </c>
      <c r="C13" s="183" t="s">
        <v>202</v>
      </c>
      <c r="D13" s="182"/>
      <c r="E13" s="23" t="s">
        <v>201</v>
      </c>
      <c r="F13" s="20">
        <f>SUM(G13:I13)</f>
        <v>13112</v>
      </c>
      <c r="G13" s="17">
        <v>7899</v>
      </c>
      <c r="H13" s="17">
        <v>5066</v>
      </c>
      <c r="I13" s="17">
        <v>147</v>
      </c>
      <c r="J13" s="20">
        <f>SUM(K13:N13)</f>
        <v>13341</v>
      </c>
      <c r="K13" s="17">
        <v>7899</v>
      </c>
      <c r="L13" s="17">
        <v>5066</v>
      </c>
      <c r="M13" s="17">
        <v>229</v>
      </c>
      <c r="N13" s="17">
        <v>147</v>
      </c>
      <c r="O13" s="20" t="e">
        <f>SUM(P13:S13)</f>
        <v>#REF!</v>
      </c>
      <c r="P13" s="17" t="e">
        <f>#REF!-G13</f>
        <v>#REF!</v>
      </c>
      <c r="Q13" s="17" t="e">
        <f>#REF!-H13</f>
        <v>#REF!</v>
      </c>
      <c r="R13" s="17">
        <v>0</v>
      </c>
      <c r="S13" s="21">
        <v>17</v>
      </c>
      <c r="T13" s="20">
        <f>SUM(U13:Y13)</f>
        <v>880811</v>
      </c>
      <c r="U13" s="17">
        <f>6491-Z13-100</f>
        <v>6389</v>
      </c>
      <c r="V13" s="17">
        <v>6090</v>
      </c>
      <c r="W13" s="582">
        <f>ROUND(889885-7330.66,0)-15000</f>
        <v>867554</v>
      </c>
      <c r="X13" s="17">
        <v>350</v>
      </c>
      <c r="Y13" s="609">
        <v>428</v>
      </c>
      <c r="Z13" s="605">
        <v>2</v>
      </c>
    </row>
    <row r="14" spans="2:26" ht="15" thickBot="1" x14ac:dyDescent="0.25">
      <c r="B14" s="371" t="s">
        <v>159</v>
      </c>
      <c r="C14" s="183" t="s">
        <v>200</v>
      </c>
      <c r="D14" s="182"/>
      <c r="E14" s="23" t="s">
        <v>158</v>
      </c>
      <c r="F14" s="20">
        <f>SUM(G14:I14)</f>
        <v>478575</v>
      </c>
      <c r="G14" s="17">
        <v>357575</v>
      </c>
      <c r="H14" s="17">
        <v>0</v>
      </c>
      <c r="I14" s="17">
        <v>121000</v>
      </c>
      <c r="J14" s="20">
        <f>SUM(K14:N14)</f>
        <v>478575</v>
      </c>
      <c r="K14" s="17">
        <v>357575</v>
      </c>
      <c r="L14" s="17"/>
      <c r="M14" s="17"/>
      <c r="N14" s="17">
        <v>121000</v>
      </c>
      <c r="O14" s="20" t="e">
        <f>SUM(P14:S14)</f>
        <v>#REF!</v>
      </c>
      <c r="P14" s="17" t="e">
        <f>#REF!-G14</f>
        <v>#REF!</v>
      </c>
      <c r="Q14" s="17">
        <v>0</v>
      </c>
      <c r="R14" s="17">
        <v>0</v>
      </c>
      <c r="S14" s="21" t="e">
        <f>#REF!-I14</f>
        <v>#REF!</v>
      </c>
      <c r="T14" s="20">
        <f>SUM(U14:Y14)</f>
        <v>466207</v>
      </c>
      <c r="U14" s="17">
        <f>188793+44400+110009-Z14</f>
        <v>343119</v>
      </c>
      <c r="V14" s="17">
        <f>110009-110009</f>
        <v>0</v>
      </c>
      <c r="W14" s="17"/>
      <c r="X14" s="17"/>
      <c r="Y14" s="609">
        <v>123088</v>
      </c>
      <c r="Z14" s="605">
        <v>83</v>
      </c>
    </row>
    <row r="15" spans="2:26" ht="15.75" thickBot="1" x14ac:dyDescent="0.25">
      <c r="B15" s="771" t="s">
        <v>39</v>
      </c>
      <c r="C15" s="772"/>
      <c r="D15" s="372"/>
      <c r="E15" s="373"/>
      <c r="F15" s="374">
        <f>F14+F13</f>
        <v>491687</v>
      </c>
      <c r="G15" s="375">
        <f t="shared" ref="G15:I15" si="0">G14+G13</f>
        <v>365474</v>
      </c>
      <c r="H15" s="375">
        <f t="shared" si="0"/>
        <v>5066</v>
      </c>
      <c r="I15" s="376">
        <f t="shared" si="0"/>
        <v>121147</v>
      </c>
      <c r="J15" s="374">
        <f>J14+J13</f>
        <v>491916</v>
      </c>
      <c r="K15" s="375">
        <f t="shared" ref="K15" si="1">K14+K13</f>
        <v>365474</v>
      </c>
      <c r="L15" s="375">
        <f t="shared" ref="L15:M15" si="2">L14+L13</f>
        <v>5066</v>
      </c>
      <c r="M15" s="375">
        <f t="shared" si="2"/>
        <v>229</v>
      </c>
      <c r="N15" s="376">
        <f t="shared" ref="N15" si="3">N14+N13</f>
        <v>121147</v>
      </c>
      <c r="O15" s="374" t="e">
        <f>#REF!+#REF!</f>
        <v>#REF!</v>
      </c>
      <c r="P15" s="377" t="e">
        <f>#REF!+#REF!</f>
        <v>#REF!</v>
      </c>
      <c r="Q15" s="377" t="e">
        <f>#REF!+#REF!</f>
        <v>#REF!</v>
      </c>
      <c r="R15" s="377" t="e">
        <f>#REF!+#REF!</f>
        <v>#REF!</v>
      </c>
      <c r="S15" s="378" t="e">
        <f>#REF!+#REF!</f>
        <v>#REF!</v>
      </c>
      <c r="T15" s="374">
        <f>T14+T13</f>
        <v>1347018</v>
      </c>
      <c r="U15" s="375">
        <f t="shared" ref="U15" si="4">U14+U13</f>
        <v>349508</v>
      </c>
      <c r="V15" s="375">
        <f t="shared" ref="V15" si="5">V14+V13</f>
        <v>6090</v>
      </c>
      <c r="W15" s="375">
        <f t="shared" ref="W15:X15" si="6">W14+W13</f>
        <v>867554</v>
      </c>
      <c r="X15" s="375">
        <f t="shared" si="6"/>
        <v>350</v>
      </c>
      <c r="Y15" s="610">
        <f t="shared" ref="Y15" si="7">Y14+Y13</f>
        <v>123516</v>
      </c>
      <c r="Z15" s="605">
        <f>SUM(Z13:Z14)</f>
        <v>85</v>
      </c>
    </row>
    <row r="16" spans="2:26" ht="13.5" thickTop="1" x14ac:dyDescent="0.2"/>
  </sheetData>
  <mergeCells count="10">
    <mergeCell ref="T8:Y8"/>
    <mergeCell ref="U12:Y12"/>
    <mergeCell ref="B15:C15"/>
    <mergeCell ref="F8:I8"/>
    <mergeCell ref="J8:N8"/>
    <mergeCell ref="O8:S8"/>
    <mergeCell ref="B9:C9"/>
    <mergeCell ref="G12:I12"/>
    <mergeCell ref="K12:N12"/>
    <mergeCell ref="P12:S12"/>
  </mergeCells>
  <pageMargins left="0.70866141732283472" right="0.70866141732283472" top="0.78740157480314965" bottom="0.78740157480314965" header="0.31496062992125984" footer="0.31496062992125984"/>
  <pageSetup paperSize="9" scale="62" firstPageNumber="70" fitToHeight="9999" orientation="landscape" useFirstPageNumber="1" r:id="rId1"/>
  <headerFooter>
    <oddFooter>&amp;L&amp;"Arial,Kurzíva"&amp;12Zastupitelstvo Olomouckého kraje 12-12-2014
6. - Rozpočet Olomouckého kraje 2015 - návrh rozpočtu
Příloha č. 3b): Příspěvkové organizace zřizované Olomouckým krajem&amp;R&amp;"Arial,Kurzíva"&amp;12Strana &amp;P (celkem 127)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G30"/>
  <sheetViews>
    <sheetView showGridLines="0" tabSelected="1" topLeftCell="A2" zoomScaleNormal="100" workbookViewId="0">
      <selection activeCell="J29" sqref="J29"/>
    </sheetView>
  </sheetViews>
  <sheetFormatPr defaultRowHeight="12.75" x14ac:dyDescent="0.2"/>
  <cols>
    <col min="1" max="1" width="0.140625" style="24" customWidth="1"/>
    <col min="2" max="2" width="52.85546875" style="24" customWidth="1"/>
    <col min="3" max="7" width="17.42578125" style="24" customWidth="1"/>
    <col min="8" max="16384" width="9.140625" style="24"/>
  </cols>
  <sheetData>
    <row r="1" spans="2:7" ht="4.5" hidden="1" customHeight="1" x14ac:dyDescent="0.2">
      <c r="D1"/>
    </row>
    <row r="2" spans="2:7" ht="23.25" x14ac:dyDescent="0.35">
      <c r="B2" s="98" t="s">
        <v>0</v>
      </c>
      <c r="C2" s="34"/>
      <c r="D2"/>
      <c r="F2" s="5"/>
      <c r="G2" s="5" t="s">
        <v>1</v>
      </c>
    </row>
    <row r="3" spans="2:7" ht="15" x14ac:dyDescent="0.2">
      <c r="B3" s="97" t="s">
        <v>53</v>
      </c>
      <c r="D3"/>
    </row>
    <row r="4" spans="2:7" ht="15" x14ac:dyDescent="0.2">
      <c r="B4" s="97" t="s">
        <v>161</v>
      </c>
      <c r="D4"/>
    </row>
    <row r="5" spans="2:7" ht="8.25" customHeight="1" x14ac:dyDescent="0.2">
      <c r="B5" s="97"/>
      <c r="D5"/>
    </row>
    <row r="6" spans="2:7" ht="13.5" thickBot="1" x14ac:dyDescent="0.25">
      <c r="D6" s="102"/>
      <c r="G6" s="15" t="s">
        <v>4</v>
      </c>
    </row>
    <row r="7" spans="2:7" ht="26.1" customHeight="1" thickTop="1" x14ac:dyDescent="0.25">
      <c r="B7" s="320"/>
      <c r="C7" s="721">
        <v>2014</v>
      </c>
      <c r="D7" s="710"/>
      <c r="E7" s="646"/>
      <c r="F7" s="721" t="s">
        <v>231</v>
      </c>
      <c r="G7" s="710"/>
    </row>
    <row r="8" spans="2:7" ht="12.75" customHeight="1" x14ac:dyDescent="0.2">
      <c r="B8" s="722" t="s">
        <v>51</v>
      </c>
      <c r="C8" s="701" t="s">
        <v>217</v>
      </c>
      <c r="D8" s="703" t="s">
        <v>229</v>
      </c>
      <c r="E8" s="705" t="s">
        <v>536</v>
      </c>
      <c r="F8" s="649"/>
      <c r="G8" s="650"/>
    </row>
    <row r="9" spans="2:7" ht="34.5" customHeight="1" thickBot="1" x14ac:dyDescent="0.25">
      <c r="B9" s="723"/>
      <c r="C9" s="702"/>
      <c r="D9" s="704"/>
      <c r="E9" s="706"/>
      <c r="F9" s="651" t="s">
        <v>553</v>
      </c>
      <c r="G9" s="652" t="s">
        <v>552</v>
      </c>
    </row>
    <row r="10" spans="2:7" ht="14.25" thickTop="1" thickBot="1" x14ac:dyDescent="0.25">
      <c r="B10" s="321"/>
      <c r="C10" s="274" t="s">
        <v>230</v>
      </c>
      <c r="D10" s="224" t="s">
        <v>50</v>
      </c>
      <c r="E10" s="224" t="s">
        <v>49</v>
      </c>
      <c r="F10" s="653" t="s">
        <v>541</v>
      </c>
      <c r="G10" s="411" t="s">
        <v>542</v>
      </c>
    </row>
    <row r="11" spans="2:7" s="99" customFormat="1" ht="15.95" customHeight="1" x14ac:dyDescent="0.25">
      <c r="B11" s="322" t="s">
        <v>48</v>
      </c>
      <c r="C11" s="312">
        <f>SUM(C13:C17)</f>
        <v>122085</v>
      </c>
      <c r="D11" s="313">
        <f>SUM(D13:D17)</f>
        <v>122873</v>
      </c>
      <c r="E11" s="313">
        <f>SUM(E13:E17)</f>
        <v>129017</v>
      </c>
      <c r="F11" s="314">
        <f>E11-C11</f>
        <v>6932</v>
      </c>
      <c r="G11" s="335">
        <f>E11/C11-1</f>
        <v>5.6780112216898049E-2</v>
      </c>
    </row>
    <row r="12" spans="2:7" ht="14.25" x14ac:dyDescent="0.2">
      <c r="B12" s="324" t="s">
        <v>47</v>
      </c>
      <c r="C12" s="113"/>
      <c r="D12" s="101"/>
      <c r="E12" s="101"/>
      <c r="F12" s="316"/>
      <c r="G12" s="648"/>
    </row>
    <row r="13" spans="2:7" ht="15.95" customHeight="1" x14ac:dyDescent="0.2">
      <c r="B13" s="612" t="s">
        <v>236</v>
      </c>
      <c r="C13" s="113">
        <f>'PO - kultura'!G21-'PO - kultura'!G13</f>
        <v>43964</v>
      </c>
      <c r="D13" s="101">
        <f>'PO - kultura'!M21-'PO - kultura'!M13</f>
        <v>44127</v>
      </c>
      <c r="E13" s="101">
        <f>'PO - kultura'!S21-'PO - kultura'!S13</f>
        <v>42952</v>
      </c>
      <c r="F13" s="316">
        <f t="shared" ref="F13:F24" si="0">E13-C13</f>
        <v>-1012</v>
      </c>
      <c r="G13" s="648">
        <f t="shared" ref="G13:G24" si="1">E13/C13-1</f>
        <v>-2.3018833591120003E-2</v>
      </c>
    </row>
    <row r="14" spans="2:7" ht="15.95" customHeight="1" x14ac:dyDescent="0.2">
      <c r="B14" s="612" t="s">
        <v>237</v>
      </c>
      <c r="C14" s="113">
        <f>'PO - kultura'!H21-'PO - kultura'!H13</f>
        <v>63584</v>
      </c>
      <c r="D14" s="101">
        <f>'PO - kultura'!N21-'PO - kultura'!N13</f>
        <v>64024</v>
      </c>
      <c r="E14" s="101">
        <f>'PO - kultura'!T21</f>
        <v>66832</v>
      </c>
      <c r="F14" s="316">
        <f t="shared" si="0"/>
        <v>3248</v>
      </c>
      <c r="G14" s="648">
        <f t="shared" si="1"/>
        <v>5.1082033215903433E-2</v>
      </c>
    </row>
    <row r="15" spans="2:7" ht="15.95" customHeight="1" x14ac:dyDescent="0.2">
      <c r="B15" s="612" t="s">
        <v>238</v>
      </c>
      <c r="C15" s="113">
        <f>'PO - kultura'!J21</f>
        <v>14537</v>
      </c>
      <c r="D15" s="101">
        <f>'PO - kultura'!P21-'PO - kultura'!P13</f>
        <v>14537</v>
      </c>
      <c r="E15" s="101">
        <f>'PO - kultura'!V21</f>
        <v>19033</v>
      </c>
      <c r="F15" s="316">
        <f t="shared" si="0"/>
        <v>4496</v>
      </c>
      <c r="G15" s="648">
        <f t="shared" si="1"/>
        <v>0.30927976886565323</v>
      </c>
    </row>
    <row r="16" spans="2:7" ht="15.95" customHeight="1" x14ac:dyDescent="0.2">
      <c r="B16" s="382" t="s">
        <v>524</v>
      </c>
      <c r="C16" s="113"/>
      <c r="D16" s="101"/>
      <c r="E16" s="101">
        <f>'PO - kultura'!W21</f>
        <v>200</v>
      </c>
      <c r="F16" s="316">
        <f t="shared" si="0"/>
        <v>200</v>
      </c>
      <c r="G16" s="648"/>
    </row>
    <row r="17" spans="2:7" s="36" customFormat="1" ht="15.95" customHeight="1" x14ac:dyDescent="0.2">
      <c r="B17" s="612" t="s">
        <v>239</v>
      </c>
      <c r="C17" s="113">
        <f>'PO - kultura'!K21-'PO - kultura'!K13</f>
        <v>0</v>
      </c>
      <c r="D17" s="101">
        <f>'PO - kultura'!Q21-'PO - kultura'!Q13</f>
        <v>185</v>
      </c>
      <c r="E17" s="101">
        <f>'PO - kultura'!X21-'PO - kultura'!X13</f>
        <v>0</v>
      </c>
      <c r="F17" s="316">
        <f t="shared" si="0"/>
        <v>0</v>
      </c>
      <c r="G17" s="648"/>
    </row>
    <row r="18" spans="2:7" s="37" customFormat="1" ht="15.95" customHeight="1" x14ac:dyDescent="0.25">
      <c r="B18" s="341" t="s">
        <v>43</v>
      </c>
      <c r="C18" s="309">
        <f>'PO - kultura'!G13</f>
        <v>0</v>
      </c>
      <c r="D18" s="310">
        <f>'PO - kultura'!M13</f>
        <v>0</v>
      </c>
      <c r="E18" s="310">
        <f>'PO - kultura'!S13</f>
        <v>0</v>
      </c>
      <c r="F18" s="314">
        <f t="shared" si="0"/>
        <v>0</v>
      </c>
      <c r="G18" s="335"/>
    </row>
    <row r="19" spans="2:7" s="37" customFormat="1" ht="15.95" customHeight="1" x14ac:dyDescent="0.25">
      <c r="B19" s="341" t="s">
        <v>42</v>
      </c>
      <c r="C19" s="309">
        <f>'PO - kultura'!K13</f>
        <v>285</v>
      </c>
      <c r="D19" s="310">
        <f>'PO - kultura'!Q13</f>
        <v>100</v>
      </c>
      <c r="E19" s="310">
        <f>'PO - kultura'!X13</f>
        <v>200</v>
      </c>
      <c r="F19" s="314">
        <f t="shared" si="0"/>
        <v>-85</v>
      </c>
      <c r="G19" s="335">
        <f t="shared" si="1"/>
        <v>-0.29824561403508776</v>
      </c>
    </row>
    <row r="20" spans="2:7" s="99" customFormat="1" ht="15.95" customHeight="1" x14ac:dyDescent="0.25">
      <c r="B20" s="325" t="s">
        <v>40</v>
      </c>
      <c r="C20" s="358">
        <f>SUM(C11+C18+C19)</f>
        <v>122370</v>
      </c>
      <c r="D20" s="315">
        <f>SUM(D11+D18+D19)</f>
        <v>122973</v>
      </c>
      <c r="E20" s="315">
        <f>SUM(E11+E18+E19)</f>
        <v>129217</v>
      </c>
      <c r="F20" s="314">
        <f t="shared" si="0"/>
        <v>6847</v>
      </c>
      <c r="G20" s="335">
        <f t="shared" si="1"/>
        <v>5.5953256517120131E-2</v>
      </c>
    </row>
    <row r="21" spans="2:7" s="347" customFormat="1" ht="4.5" customHeight="1" x14ac:dyDescent="0.25">
      <c r="B21" s="485"/>
      <c r="C21" s="316"/>
      <c r="D21" s="317"/>
      <c r="E21" s="317"/>
      <c r="F21" s="314"/>
      <c r="G21" s="335"/>
    </row>
    <row r="22" spans="2:7" s="99" customFormat="1" ht="15.95" customHeight="1" x14ac:dyDescent="0.25">
      <c r="B22" s="325" t="s">
        <v>41</v>
      </c>
      <c r="C22" s="356">
        <f>'PO - kultura'!I21</f>
        <v>1596</v>
      </c>
      <c r="D22" s="357">
        <f>'PO - kultura'!O21</f>
        <v>1596</v>
      </c>
      <c r="E22" s="357">
        <f>'PO - kultura'!U21</f>
        <v>1596</v>
      </c>
      <c r="F22" s="316">
        <f t="shared" si="0"/>
        <v>0</v>
      </c>
      <c r="G22" s="648">
        <f t="shared" si="1"/>
        <v>0</v>
      </c>
    </row>
    <row r="23" spans="2:7" ht="3.75" customHeight="1" x14ac:dyDescent="0.25">
      <c r="B23" s="100"/>
      <c r="C23" s="307"/>
      <c r="D23" s="308"/>
      <c r="E23" s="308"/>
      <c r="F23" s="314">
        <f t="shared" si="0"/>
        <v>0</v>
      </c>
      <c r="G23" s="335" t="e">
        <f t="shared" si="1"/>
        <v>#DIV/0!</v>
      </c>
    </row>
    <row r="24" spans="2:7" s="77" customFormat="1" ht="15.95" customHeight="1" thickBot="1" x14ac:dyDescent="0.3">
      <c r="B24" s="326" t="s">
        <v>40</v>
      </c>
      <c r="C24" s="327">
        <f t="shared" ref="C24:D24" si="2">C22+C20</f>
        <v>123966</v>
      </c>
      <c r="D24" s="328">
        <f t="shared" si="2"/>
        <v>124569</v>
      </c>
      <c r="E24" s="328">
        <f t="shared" ref="E24" si="3">E22+E20</f>
        <v>130813</v>
      </c>
      <c r="F24" s="327">
        <f t="shared" si="0"/>
        <v>6847</v>
      </c>
      <c r="G24" s="336">
        <f t="shared" si="1"/>
        <v>5.5232886436603623E-2</v>
      </c>
    </row>
    <row r="25" spans="2:7" s="192" customFormat="1" ht="19.5" hidden="1" customHeight="1" x14ac:dyDescent="0.25">
      <c r="B25" s="193"/>
      <c r="C25" s="219"/>
      <c r="D25" s="219"/>
    </row>
    <row r="26" spans="2:7" s="192" customFormat="1" ht="18" hidden="1" customHeight="1" thickBot="1" x14ac:dyDescent="0.3">
      <c r="B26" s="193"/>
      <c r="C26" s="213"/>
      <c r="D26" s="213"/>
    </row>
    <row r="27" spans="2:7" s="192" customFormat="1" ht="10.5" hidden="1" customHeight="1" thickTop="1" x14ac:dyDescent="0.25">
      <c r="B27" s="193"/>
      <c r="C27" s="195"/>
      <c r="D27" s="195"/>
    </row>
    <row r="28" spans="2:7" customFormat="1" ht="15" hidden="1" customHeight="1" x14ac:dyDescent="0.2">
      <c r="B28" s="191" t="s">
        <v>210</v>
      </c>
    </row>
    <row r="29" spans="2:7" ht="13.5" thickTop="1" x14ac:dyDescent="0.2"/>
    <row r="30" spans="2:7" customFormat="1" ht="32.25" customHeight="1" x14ac:dyDescent="0.2">
      <c r="B30" s="745"/>
      <c r="C30" s="746"/>
      <c r="D30" s="318"/>
      <c r="E30" s="311"/>
      <c r="F30" s="287"/>
      <c r="G30" s="287"/>
    </row>
  </sheetData>
  <sheetProtection selectLockedCells="1"/>
  <mergeCells count="7">
    <mergeCell ref="F7:G7"/>
    <mergeCell ref="E8:E9"/>
    <mergeCell ref="B30:C30"/>
    <mergeCell ref="C7:D7"/>
    <mergeCell ref="B8:B9"/>
    <mergeCell ref="C8:C9"/>
    <mergeCell ref="D8:D9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95" firstPageNumber="71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2:AA37"/>
  <sheetViews>
    <sheetView showGridLines="0" tabSelected="1" topLeftCell="M1" zoomScaleNormal="100" workbookViewId="0">
      <selection activeCell="J29" sqref="J29"/>
    </sheetView>
  </sheetViews>
  <sheetFormatPr defaultRowHeight="12.75" x14ac:dyDescent="0.2"/>
  <cols>
    <col min="1" max="1" width="2.7109375" customWidth="1"/>
    <col min="2" max="2" width="14.7109375" hidden="1" customWidth="1"/>
    <col min="3" max="3" width="4.7109375" hidden="1" customWidth="1"/>
    <col min="4" max="4" width="10.7109375" hidden="1" customWidth="1"/>
    <col min="5" max="5" width="33.85546875" customWidth="1"/>
    <col min="6" max="6" width="12.7109375" style="1" customWidth="1"/>
    <col min="7" max="11" width="9.7109375" style="1" customWidth="1"/>
    <col min="12" max="12" width="12.7109375" style="1" customWidth="1"/>
    <col min="13" max="17" width="9.7109375" style="1" customWidth="1"/>
    <col min="18" max="24" width="9.140625" style="1" customWidth="1"/>
    <col min="25" max="27" width="9.140625" hidden="1" customWidth="1"/>
  </cols>
  <sheetData>
    <row r="2" spans="2:27" ht="21.75" x14ac:dyDescent="0.3">
      <c r="E2" s="2" t="s">
        <v>0</v>
      </c>
      <c r="F2" s="3"/>
      <c r="G2" s="3"/>
      <c r="H2" s="3"/>
      <c r="J2" s="4"/>
      <c r="K2" s="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1</v>
      </c>
    </row>
    <row r="3" spans="2:27" ht="15.75" x14ac:dyDescent="0.25">
      <c r="E3" s="7" t="s">
        <v>546</v>
      </c>
      <c r="F3" s="7"/>
      <c r="G3" s="8"/>
      <c r="H3" s="9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7" ht="15.75" x14ac:dyDescent="0.25">
      <c r="E4" s="7" t="s">
        <v>3</v>
      </c>
      <c r="G4" s="8"/>
      <c r="H4" s="9"/>
      <c r="J4" s="10"/>
      <c r="K4" s="1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2:27" ht="18" x14ac:dyDescent="0.25">
      <c r="B5" s="12"/>
      <c r="C5" s="12"/>
      <c r="D5" s="12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7" spans="2:27" ht="13.5" thickBot="1" x14ac:dyDescent="0.25">
      <c r="B7" s="14"/>
      <c r="C7" s="14"/>
      <c r="D7" s="14"/>
      <c r="E7" s="14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 t="s">
        <v>4</v>
      </c>
    </row>
    <row r="8" spans="2:27" ht="13.5" thickTop="1" x14ac:dyDescent="0.2">
      <c r="B8" s="225"/>
      <c r="C8" s="230"/>
      <c r="D8" s="225"/>
      <c r="E8" s="364"/>
      <c r="F8" s="765" t="s">
        <v>217</v>
      </c>
      <c r="G8" s="766"/>
      <c r="H8" s="766"/>
      <c r="I8" s="766"/>
      <c r="J8" s="766"/>
      <c r="K8" s="640"/>
      <c r="L8" s="765" t="s">
        <v>234</v>
      </c>
      <c r="M8" s="766"/>
      <c r="N8" s="766"/>
      <c r="O8" s="766"/>
      <c r="P8" s="766"/>
      <c r="Q8" s="640"/>
      <c r="R8" s="765" t="s">
        <v>538</v>
      </c>
      <c r="S8" s="766"/>
      <c r="T8" s="766"/>
      <c r="U8" s="766"/>
      <c r="V8" s="766"/>
      <c r="W8" s="766"/>
      <c r="X8" s="767"/>
      <c r="AA8" s="596"/>
    </row>
    <row r="9" spans="2:27" ht="18" customHeight="1" x14ac:dyDescent="0.2">
      <c r="B9" s="784" t="s">
        <v>6</v>
      </c>
      <c r="C9" s="775"/>
      <c r="D9" s="231" t="s">
        <v>7</v>
      </c>
      <c r="E9" s="654" t="s">
        <v>8</v>
      </c>
      <c r="F9" s="235"/>
      <c r="G9" s="233" t="s">
        <v>9</v>
      </c>
      <c r="H9" s="235"/>
      <c r="I9" s="235"/>
      <c r="J9" s="235"/>
      <c r="K9" s="236"/>
      <c r="L9" s="234"/>
      <c r="M9" s="233" t="s">
        <v>9</v>
      </c>
      <c r="N9" s="235"/>
      <c r="O9" s="235"/>
      <c r="P9" s="235"/>
      <c r="Q9" s="235"/>
      <c r="R9" s="234"/>
      <c r="S9" s="233" t="s">
        <v>9</v>
      </c>
      <c r="T9" s="235"/>
      <c r="U9" s="235"/>
      <c r="V9" s="235"/>
      <c r="W9" s="235"/>
      <c r="X9" s="606"/>
      <c r="AA9" s="597"/>
    </row>
    <row r="10" spans="2:27" ht="54" customHeight="1" x14ac:dyDescent="0.2">
      <c r="B10" s="237"/>
      <c r="C10" s="238"/>
      <c r="D10" s="237"/>
      <c r="E10" s="367"/>
      <c r="F10" s="239" t="s">
        <v>10</v>
      </c>
      <c r="G10" s="240" t="s">
        <v>11</v>
      </c>
      <c r="H10" s="240" t="s">
        <v>12</v>
      </c>
      <c r="I10" s="240" t="s">
        <v>13</v>
      </c>
      <c r="J10" s="240" t="s">
        <v>14</v>
      </c>
      <c r="K10" s="241" t="s">
        <v>55</v>
      </c>
      <c r="L10" s="239" t="s">
        <v>10</v>
      </c>
      <c r="M10" s="240" t="s">
        <v>11</v>
      </c>
      <c r="N10" s="240" t="s">
        <v>12</v>
      </c>
      <c r="O10" s="240" t="s">
        <v>13</v>
      </c>
      <c r="P10" s="240" t="s">
        <v>14</v>
      </c>
      <c r="Q10" s="240" t="s">
        <v>55</v>
      </c>
      <c r="R10" s="239" t="s">
        <v>10</v>
      </c>
      <c r="S10" s="240" t="s">
        <v>11</v>
      </c>
      <c r="T10" s="240" t="s">
        <v>12</v>
      </c>
      <c r="U10" s="240" t="s">
        <v>13</v>
      </c>
      <c r="V10" s="240" t="s">
        <v>14</v>
      </c>
      <c r="W10" s="240" t="s">
        <v>11</v>
      </c>
      <c r="X10" s="607" t="s">
        <v>55</v>
      </c>
      <c r="Z10" s="115" t="s">
        <v>199</v>
      </c>
      <c r="AA10" s="597"/>
    </row>
    <row r="11" spans="2:27" ht="13.5" thickBot="1" x14ac:dyDescent="0.25">
      <c r="B11" s="242" t="s">
        <v>15</v>
      </c>
      <c r="C11" s="243" t="s">
        <v>16</v>
      </c>
      <c r="D11" s="226"/>
      <c r="E11" s="655"/>
      <c r="F11" s="227"/>
      <c r="G11" s="228" t="s">
        <v>17</v>
      </c>
      <c r="H11" s="228" t="s">
        <v>18</v>
      </c>
      <c r="I11" s="228" t="s">
        <v>19</v>
      </c>
      <c r="J11" s="228" t="s">
        <v>20</v>
      </c>
      <c r="K11" s="229" t="s">
        <v>54</v>
      </c>
      <c r="L11" s="227"/>
      <c r="M11" s="244" t="s">
        <v>17</v>
      </c>
      <c r="N11" s="228" t="s">
        <v>18</v>
      </c>
      <c r="O11" s="228" t="s">
        <v>19</v>
      </c>
      <c r="P11" s="228" t="s">
        <v>20</v>
      </c>
      <c r="Q11" s="228" t="s">
        <v>54</v>
      </c>
      <c r="R11" s="227"/>
      <c r="S11" s="244" t="s">
        <v>17</v>
      </c>
      <c r="T11" s="228" t="s">
        <v>18</v>
      </c>
      <c r="U11" s="228" t="s">
        <v>19</v>
      </c>
      <c r="V11" s="228" t="s">
        <v>20</v>
      </c>
      <c r="W11" s="228" t="s">
        <v>523</v>
      </c>
      <c r="X11" s="608" t="s">
        <v>54</v>
      </c>
      <c r="Y11" s="196">
        <v>0.8</v>
      </c>
      <c r="Z11" s="197" t="s">
        <v>169</v>
      </c>
      <c r="AA11" s="598"/>
    </row>
    <row r="12" spans="2:27" ht="13.5" thickBot="1" x14ac:dyDescent="0.25">
      <c r="B12" s="245"/>
      <c r="C12" s="246"/>
      <c r="D12" s="245"/>
      <c r="E12" s="370"/>
      <c r="F12" s="247" t="s">
        <v>21</v>
      </c>
      <c r="G12" s="768" t="s">
        <v>21</v>
      </c>
      <c r="H12" s="769"/>
      <c r="I12" s="769"/>
      <c r="J12" s="769"/>
      <c r="K12" s="268"/>
      <c r="L12" s="247" t="s">
        <v>21</v>
      </c>
      <c r="M12" s="768" t="s">
        <v>21</v>
      </c>
      <c r="N12" s="769"/>
      <c r="O12" s="769"/>
      <c r="P12" s="769"/>
      <c r="Q12" s="268"/>
      <c r="R12" s="247" t="s">
        <v>21</v>
      </c>
      <c r="S12" s="768" t="s">
        <v>21</v>
      </c>
      <c r="T12" s="769"/>
      <c r="U12" s="769"/>
      <c r="V12" s="769"/>
      <c r="W12" s="769"/>
      <c r="X12" s="770"/>
      <c r="AA12" s="598"/>
    </row>
    <row r="13" spans="2:27" ht="18.75" customHeight="1" thickBot="1" x14ac:dyDescent="0.25">
      <c r="B13" s="18" t="s">
        <v>22</v>
      </c>
      <c r="C13" s="16" t="s">
        <v>23</v>
      </c>
      <c r="D13" s="19"/>
      <c r="E13" s="656" t="s">
        <v>56</v>
      </c>
      <c r="F13" s="20">
        <f t="shared" ref="F13:F20" si="0">SUM(G13:K13)</f>
        <v>285</v>
      </c>
      <c r="G13" s="17"/>
      <c r="H13" s="17"/>
      <c r="I13" s="17"/>
      <c r="J13" s="17"/>
      <c r="K13" s="21">
        <v>285</v>
      </c>
      <c r="L13" s="20">
        <f t="shared" ref="L13:L20" si="1">SUM(M13:Q13)</f>
        <v>100</v>
      </c>
      <c r="M13" s="17"/>
      <c r="N13" s="17"/>
      <c r="O13" s="17"/>
      <c r="P13" s="17"/>
      <c r="Q13" s="21">
        <v>100</v>
      </c>
      <c r="R13" s="109">
        <f t="shared" ref="R13:R20" si="2">SUM(S13:X13)</f>
        <v>200</v>
      </c>
      <c r="S13" s="17"/>
      <c r="T13" s="17"/>
      <c r="U13" s="17"/>
      <c r="V13" s="17"/>
      <c r="W13" s="17"/>
      <c r="X13" s="609">
        <v>200</v>
      </c>
      <c r="AA13" s="594"/>
    </row>
    <row r="14" spans="2:27" ht="15" thickBot="1" x14ac:dyDescent="0.25">
      <c r="B14" s="18" t="s">
        <v>24</v>
      </c>
      <c r="C14" s="16" t="s">
        <v>25</v>
      </c>
      <c r="D14" s="19"/>
      <c r="E14" s="656" t="s">
        <v>26</v>
      </c>
      <c r="F14" s="20">
        <f t="shared" si="0"/>
        <v>35217</v>
      </c>
      <c r="G14" s="17">
        <v>12286</v>
      </c>
      <c r="H14" s="17">
        <v>18864</v>
      </c>
      <c r="I14" s="17">
        <v>1596</v>
      </c>
      <c r="J14" s="17">
        <v>2471</v>
      </c>
      <c r="K14" s="21"/>
      <c r="L14" s="20">
        <f t="shared" si="1"/>
        <v>35820</v>
      </c>
      <c r="M14" s="17">
        <v>12449</v>
      </c>
      <c r="N14" s="17">
        <v>19304</v>
      </c>
      <c r="O14" s="17">
        <v>1596</v>
      </c>
      <c r="P14" s="17">
        <v>2471</v>
      </c>
      <c r="Q14" s="21"/>
      <c r="R14" s="20">
        <f t="shared" si="2"/>
        <v>38680</v>
      </c>
      <c r="S14" s="17">
        <f>12009-AA14</f>
        <v>11969</v>
      </c>
      <c r="T14" s="17">
        <v>20004</v>
      </c>
      <c r="U14" s="17">
        <v>1596</v>
      </c>
      <c r="V14" s="17">
        <v>5111</v>
      </c>
      <c r="W14" s="17"/>
      <c r="X14" s="609"/>
      <c r="Y14" s="108">
        <f>ROUND($Y$11*V14,0)</f>
        <v>4089</v>
      </c>
      <c r="AA14" s="594">
        <v>40</v>
      </c>
    </row>
    <row r="15" spans="2:27" s="1" customFormat="1" ht="15" thickBot="1" x14ac:dyDescent="0.25">
      <c r="B15" s="18" t="s">
        <v>27</v>
      </c>
      <c r="C15" s="16" t="s">
        <v>28</v>
      </c>
      <c r="D15" s="19"/>
      <c r="E15" s="656" t="s">
        <v>29</v>
      </c>
      <c r="F15" s="20">
        <f t="shared" si="0"/>
        <v>30660</v>
      </c>
      <c r="G15" s="17">
        <v>9489</v>
      </c>
      <c r="H15" s="17">
        <v>14298</v>
      </c>
      <c r="I15" s="17"/>
      <c r="J15" s="17">
        <v>6873</v>
      </c>
      <c r="K15" s="21"/>
      <c r="L15" s="20">
        <f t="shared" si="1"/>
        <v>30660</v>
      </c>
      <c r="M15" s="17">
        <v>9489</v>
      </c>
      <c r="N15" s="17">
        <v>14298</v>
      </c>
      <c r="O15" s="17"/>
      <c r="P15" s="17">
        <v>6873</v>
      </c>
      <c r="Q15" s="21"/>
      <c r="R15" s="20">
        <f t="shared" si="2"/>
        <v>33224</v>
      </c>
      <c r="S15" s="17">
        <f>9784-AA15</f>
        <v>9752</v>
      </c>
      <c r="T15" s="17">
        <v>15361</v>
      </c>
      <c r="U15" s="17"/>
      <c r="V15" s="17">
        <v>7911</v>
      </c>
      <c r="W15" s="17">
        <v>200</v>
      </c>
      <c r="X15" s="609"/>
      <c r="Y15" s="108">
        <f t="shared" ref="Y15:Y20" si="3">ROUND($Y$11*V15,0)</f>
        <v>6329</v>
      </c>
      <c r="AA15" s="595">
        <v>32</v>
      </c>
    </row>
    <row r="16" spans="2:27" s="1" customFormat="1" ht="15" thickBot="1" x14ac:dyDescent="0.25">
      <c r="B16" s="18" t="s">
        <v>30</v>
      </c>
      <c r="C16" s="16" t="s">
        <v>28</v>
      </c>
      <c r="D16" s="19"/>
      <c r="E16" s="656" t="s">
        <v>31</v>
      </c>
      <c r="F16" s="20">
        <f t="shared" si="0"/>
        <v>5284</v>
      </c>
      <c r="G16" s="17">
        <v>1774</v>
      </c>
      <c r="H16" s="17">
        <v>2860</v>
      </c>
      <c r="I16" s="17"/>
      <c r="J16" s="17">
        <v>650</v>
      </c>
      <c r="K16" s="21"/>
      <c r="L16" s="20">
        <f t="shared" si="1"/>
        <v>5284</v>
      </c>
      <c r="M16" s="17">
        <v>1774</v>
      </c>
      <c r="N16" s="17">
        <v>2860</v>
      </c>
      <c r="O16" s="17"/>
      <c r="P16" s="17">
        <v>650</v>
      </c>
      <c r="Q16" s="21"/>
      <c r="R16" s="20">
        <f t="shared" si="2"/>
        <v>5337</v>
      </c>
      <c r="S16" s="17">
        <f>1691-AA16</f>
        <v>1685</v>
      </c>
      <c r="T16" s="17">
        <f>2931+15</f>
        <v>2946</v>
      </c>
      <c r="U16" s="17"/>
      <c r="V16" s="17">
        <v>706</v>
      </c>
      <c r="W16" s="17"/>
      <c r="X16" s="609"/>
      <c r="Y16" s="108">
        <f t="shared" si="3"/>
        <v>565</v>
      </c>
      <c r="AA16" s="595">
        <v>6</v>
      </c>
    </row>
    <row r="17" spans="2:27" s="1" customFormat="1" ht="15" thickBot="1" x14ac:dyDescent="0.25">
      <c r="B17" s="18" t="s">
        <v>32</v>
      </c>
      <c r="C17" s="16" t="s">
        <v>28</v>
      </c>
      <c r="D17" s="19"/>
      <c r="E17" s="656" t="s">
        <v>235</v>
      </c>
      <c r="F17" s="20">
        <f t="shared" si="0"/>
        <v>12562</v>
      </c>
      <c r="G17" s="17">
        <v>4507</v>
      </c>
      <c r="H17" s="17">
        <v>6702</v>
      </c>
      <c r="I17" s="17"/>
      <c r="J17" s="17">
        <v>1353</v>
      </c>
      <c r="K17" s="21"/>
      <c r="L17" s="20">
        <f t="shared" si="1"/>
        <v>12562</v>
      </c>
      <c r="M17" s="17">
        <v>4507</v>
      </c>
      <c r="N17" s="17">
        <v>6702</v>
      </c>
      <c r="O17" s="17"/>
      <c r="P17" s="17">
        <v>1353</v>
      </c>
      <c r="Q17" s="21"/>
      <c r="R17" s="20">
        <f t="shared" si="2"/>
        <v>12701</v>
      </c>
      <c r="S17" s="17">
        <f>4315-AA17</f>
        <v>4310</v>
      </c>
      <c r="T17" s="17">
        <v>6986</v>
      </c>
      <c r="U17" s="17"/>
      <c r="V17" s="17">
        <v>1405</v>
      </c>
      <c r="W17" s="17"/>
      <c r="X17" s="609"/>
      <c r="Y17" s="108">
        <f t="shared" si="3"/>
        <v>1124</v>
      </c>
      <c r="AA17" s="595">
        <v>5</v>
      </c>
    </row>
    <row r="18" spans="2:27" s="1" customFormat="1" ht="15" thickBot="1" x14ac:dyDescent="0.25">
      <c r="B18" s="18" t="s">
        <v>33</v>
      </c>
      <c r="C18" s="16" t="s">
        <v>28</v>
      </c>
      <c r="D18" s="19"/>
      <c r="E18" s="656" t="s">
        <v>34</v>
      </c>
      <c r="F18" s="20">
        <f t="shared" si="0"/>
        <v>17366</v>
      </c>
      <c r="G18" s="17">
        <v>6255</v>
      </c>
      <c r="H18" s="17">
        <v>10194</v>
      </c>
      <c r="I18" s="17"/>
      <c r="J18" s="17">
        <v>917</v>
      </c>
      <c r="K18" s="21"/>
      <c r="L18" s="20">
        <f t="shared" si="1"/>
        <v>17366</v>
      </c>
      <c r="M18" s="17">
        <v>6255</v>
      </c>
      <c r="N18" s="17">
        <v>10194</v>
      </c>
      <c r="O18" s="17"/>
      <c r="P18" s="17">
        <v>917</v>
      </c>
      <c r="Q18" s="21"/>
      <c r="R18" s="20">
        <f t="shared" si="2"/>
        <v>17958</v>
      </c>
      <c r="S18" s="17">
        <f>5880-AA18</f>
        <v>5857</v>
      </c>
      <c r="T18" s="17">
        <v>10547</v>
      </c>
      <c r="U18" s="17"/>
      <c r="V18" s="17">
        <v>1554</v>
      </c>
      <c r="W18" s="17"/>
      <c r="X18" s="609"/>
      <c r="Y18" s="108">
        <f t="shared" si="3"/>
        <v>1243</v>
      </c>
      <c r="AA18" s="595">
        <v>23</v>
      </c>
    </row>
    <row r="19" spans="2:27" s="1" customFormat="1" ht="26.25" thickBot="1" x14ac:dyDescent="0.25">
      <c r="B19" s="18" t="s">
        <v>35</v>
      </c>
      <c r="C19" s="16" t="s">
        <v>28</v>
      </c>
      <c r="D19" s="19"/>
      <c r="E19" s="656" t="s">
        <v>36</v>
      </c>
      <c r="F19" s="20">
        <f t="shared" si="0"/>
        <v>20184</v>
      </c>
      <c r="G19" s="17">
        <v>8526</v>
      </c>
      <c r="H19" s="17">
        <v>10666</v>
      </c>
      <c r="I19" s="17"/>
      <c r="J19" s="17">
        <v>992</v>
      </c>
      <c r="K19" s="21"/>
      <c r="L19" s="20">
        <f t="shared" si="1"/>
        <v>20184</v>
      </c>
      <c r="M19" s="17">
        <v>8526</v>
      </c>
      <c r="N19" s="17">
        <v>10666</v>
      </c>
      <c r="O19" s="17"/>
      <c r="P19" s="17">
        <v>992</v>
      </c>
      <c r="Q19" s="21"/>
      <c r="R19" s="20">
        <f t="shared" si="2"/>
        <v>20253</v>
      </c>
      <c r="S19" s="17">
        <f>8145-AA19</f>
        <v>8129</v>
      </c>
      <c r="T19" s="17">
        <v>10988</v>
      </c>
      <c r="U19" s="17"/>
      <c r="V19" s="17">
        <v>1136</v>
      </c>
      <c r="W19" s="17"/>
      <c r="X19" s="609"/>
      <c r="Y19" s="108">
        <f t="shared" si="3"/>
        <v>909</v>
      </c>
      <c r="AA19" s="595">
        <v>16</v>
      </c>
    </row>
    <row r="20" spans="2:27" s="1" customFormat="1" ht="15" thickBot="1" x14ac:dyDescent="0.25">
      <c r="B20" s="18" t="s">
        <v>37</v>
      </c>
      <c r="C20" s="16" t="s">
        <v>28</v>
      </c>
      <c r="D20" s="19"/>
      <c r="E20" s="656" t="s">
        <v>38</v>
      </c>
      <c r="F20" s="20">
        <f t="shared" si="0"/>
        <v>2408</v>
      </c>
      <c r="G20" s="17">
        <v>1127</v>
      </c>
      <c r="H20" s="17"/>
      <c r="I20" s="17"/>
      <c r="J20" s="17">
        <v>1281</v>
      </c>
      <c r="K20" s="21"/>
      <c r="L20" s="20">
        <f t="shared" si="1"/>
        <v>2593</v>
      </c>
      <c r="M20" s="17">
        <v>1127</v>
      </c>
      <c r="N20" s="17"/>
      <c r="O20" s="17"/>
      <c r="P20" s="17">
        <v>1281</v>
      </c>
      <c r="Q20" s="21">
        <v>185</v>
      </c>
      <c r="R20" s="20">
        <f t="shared" si="2"/>
        <v>2460</v>
      </c>
      <c r="S20" s="17">
        <f>1255-AA20</f>
        <v>1250</v>
      </c>
      <c r="T20" s="17"/>
      <c r="U20" s="17"/>
      <c r="V20" s="17">
        <v>1210</v>
      </c>
      <c r="W20" s="17"/>
      <c r="X20" s="609"/>
      <c r="Y20" s="108">
        <f t="shared" si="3"/>
        <v>968</v>
      </c>
      <c r="AA20" s="595">
        <v>5</v>
      </c>
    </row>
    <row r="21" spans="2:27" s="1" customFormat="1" ht="15.75" thickBot="1" x14ac:dyDescent="0.25">
      <c r="B21" s="779" t="s">
        <v>39</v>
      </c>
      <c r="C21" s="780"/>
      <c r="D21" s="22"/>
      <c r="E21" s="657"/>
      <c r="F21" s="374">
        <f>SUM(F13:F20)</f>
        <v>123966</v>
      </c>
      <c r="G21" s="375">
        <f>SUM(G13:G20)</f>
        <v>43964</v>
      </c>
      <c r="H21" s="375">
        <f t="shared" ref="H21:Q21" si="4">SUM(H13:H20)</f>
        <v>63584</v>
      </c>
      <c r="I21" s="375">
        <f t="shared" si="4"/>
        <v>1596</v>
      </c>
      <c r="J21" s="377">
        <f t="shared" si="4"/>
        <v>14537</v>
      </c>
      <c r="K21" s="378">
        <f t="shared" si="4"/>
        <v>285</v>
      </c>
      <c r="L21" s="374">
        <f>SUM(L13:L20)</f>
        <v>124569</v>
      </c>
      <c r="M21" s="375">
        <f t="shared" si="4"/>
        <v>44127</v>
      </c>
      <c r="N21" s="375">
        <f t="shared" si="4"/>
        <v>64024</v>
      </c>
      <c r="O21" s="375">
        <f t="shared" si="4"/>
        <v>1596</v>
      </c>
      <c r="P21" s="376">
        <f t="shared" si="4"/>
        <v>14537</v>
      </c>
      <c r="Q21" s="378">
        <f t="shared" si="4"/>
        <v>285</v>
      </c>
      <c r="R21" s="374">
        <f>SUM(R13:R20)</f>
        <v>130813</v>
      </c>
      <c r="S21" s="375">
        <f t="shared" ref="S21:X21" si="5">SUM(S13:S20)</f>
        <v>42952</v>
      </c>
      <c r="T21" s="375">
        <f t="shared" si="5"/>
        <v>66832</v>
      </c>
      <c r="U21" s="375">
        <f t="shared" si="5"/>
        <v>1596</v>
      </c>
      <c r="V21" s="375">
        <f t="shared" si="5"/>
        <v>19033</v>
      </c>
      <c r="W21" s="375">
        <f t="shared" si="5"/>
        <v>200</v>
      </c>
      <c r="X21" s="610">
        <f t="shared" si="5"/>
        <v>200</v>
      </c>
      <c r="Y21" s="108">
        <f>SUM(Y14:Y20)</f>
        <v>15227</v>
      </c>
      <c r="AA21" s="595">
        <f>SUM(AA14:AA20)</f>
        <v>127</v>
      </c>
    </row>
    <row r="22" spans="2:27" ht="5.25" customHeight="1" x14ac:dyDescent="0.2"/>
    <row r="23" spans="2:27" x14ac:dyDescent="0.2">
      <c r="B23" s="781"/>
      <c r="C23" s="782"/>
      <c r="D23" s="782"/>
      <c r="E23" s="782"/>
      <c r="F23" s="782"/>
      <c r="G23" s="782"/>
      <c r="H23" s="782"/>
      <c r="I23" s="782"/>
      <c r="J23" s="782"/>
      <c r="K23" s="783"/>
      <c r="L23" s="783"/>
      <c r="M23" s="783"/>
      <c r="Y23" s="777" t="e">
        <f>#REF!*Y11</f>
        <v>#REF!</v>
      </c>
      <c r="Z23" s="778"/>
    </row>
    <row r="25" spans="2:27" x14ac:dyDescent="0.2">
      <c r="M25" s="95"/>
      <c r="N25" s="95"/>
      <c r="O25" s="95"/>
      <c r="P25" s="95"/>
    </row>
    <row r="26" spans="2:27" x14ac:dyDescent="0.2">
      <c r="L26" s="177"/>
    </row>
    <row r="27" spans="2:27" x14ac:dyDescent="0.2">
      <c r="L27" s="177"/>
    </row>
    <row r="30" spans="2:27" x14ac:dyDescent="0.2">
      <c r="L30" s="177"/>
    </row>
    <row r="31" spans="2:27" x14ac:dyDescent="0.2">
      <c r="L31" s="177"/>
    </row>
    <row r="34" spans="12:16" x14ac:dyDescent="0.2">
      <c r="L34" s="176"/>
    </row>
    <row r="35" spans="12:16" x14ac:dyDescent="0.2">
      <c r="L35" s="176"/>
    </row>
    <row r="37" spans="12:16" x14ac:dyDescent="0.2">
      <c r="M37" s="178"/>
      <c r="N37" s="178"/>
      <c r="P37" s="178"/>
    </row>
  </sheetData>
  <sheetProtection selectLockedCells="1"/>
  <mergeCells count="10">
    <mergeCell ref="Y23:Z23"/>
    <mergeCell ref="B21:C21"/>
    <mergeCell ref="F8:J8"/>
    <mergeCell ref="L8:P8"/>
    <mergeCell ref="B23:M23"/>
    <mergeCell ref="B9:C9"/>
    <mergeCell ref="G12:J12"/>
    <mergeCell ref="M12:P12"/>
    <mergeCell ref="R8:X8"/>
    <mergeCell ref="S12:X12"/>
  </mergeCells>
  <conditionalFormatting sqref="X13">
    <cfRule type="cellIs" dxfId="9" priority="8" operator="notEqual">
      <formula>#REF!</formula>
    </cfRule>
  </conditionalFormatting>
  <conditionalFormatting sqref="F21">
    <cfRule type="cellIs" dxfId="8" priority="4" operator="notEqual">
      <formula>123681+285</formula>
    </cfRule>
  </conditionalFormatting>
  <conditionalFormatting sqref="L21">
    <cfRule type="cellIs" dxfId="7" priority="3" operator="notEqual">
      <formula>125439-870</formula>
    </cfRule>
  </conditionalFormatting>
  <conditionalFormatting sqref="R21">
    <cfRule type="cellIs" dxfId="6" priority="1" operator="notEqual">
      <formula>130540+200-127+200</formula>
    </cfRule>
  </conditionalFormatting>
  <pageMargins left="0.70866141732283472" right="0.70866141732283472" top="0.78740157480314965" bottom="0.78740157480314965" header="0.31496062992125984" footer="0.31496062992125984"/>
  <pageSetup paperSize="9" scale="59" firstPageNumber="72" fitToHeight="9999" orientation="landscape" useFirstPageNumber="1" r:id="rId1"/>
  <headerFooter>
    <oddFooter>&amp;L&amp;"Arial,Kurzíva"&amp;12Zastupitelstvo Olomouckého kraje 12-12-2014
6. - Rozpočet Olomouckého kraje 2015 - návrh rozpočtu
Příloha č. 3b): Příspěvkové organizace zřizované Olomouckým krajem&amp;R&amp;"Arial,Kurzíva"&amp;12Strana &amp;P (celkem 127)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K27"/>
  <sheetViews>
    <sheetView showGridLines="0" tabSelected="1" zoomScaleNormal="100" workbookViewId="0">
      <selection activeCell="J29" sqref="J29"/>
    </sheetView>
  </sheetViews>
  <sheetFormatPr defaultRowHeight="12.75" x14ac:dyDescent="0.2"/>
  <cols>
    <col min="1" max="1" width="0.140625" style="24" customWidth="1"/>
    <col min="2" max="2" width="50" style="24" customWidth="1"/>
    <col min="3" max="7" width="17.42578125" style="24" customWidth="1"/>
    <col min="8" max="10" width="12.7109375" style="24" hidden="1" customWidth="1"/>
    <col min="11" max="16384" width="9.140625" style="24"/>
  </cols>
  <sheetData>
    <row r="1" spans="2:10" ht="20.25" x14ac:dyDescent="0.3">
      <c r="D1"/>
      <c r="E1" s="34"/>
      <c r="F1" s="33"/>
      <c r="G1" s="32" t="s">
        <v>130</v>
      </c>
    </row>
    <row r="2" spans="2:10" ht="23.25" x14ac:dyDescent="0.35">
      <c r="B2" s="98" t="s">
        <v>131</v>
      </c>
      <c r="C2" s="34"/>
      <c r="D2"/>
      <c r="E2" s="785"/>
      <c r="F2" s="785"/>
      <c r="G2" s="785"/>
      <c r="H2" s="34"/>
      <c r="I2" s="33"/>
      <c r="J2" s="32" t="s">
        <v>130</v>
      </c>
    </row>
    <row r="3" spans="2:10" s="99" customFormat="1" ht="15" x14ac:dyDescent="0.2">
      <c r="B3" s="97" t="s">
        <v>213</v>
      </c>
      <c r="D3"/>
      <c r="E3" s="785"/>
      <c r="F3" s="785"/>
      <c r="G3" s="785"/>
      <c r="H3" s="785"/>
      <c r="I3" s="785"/>
      <c r="J3" s="785"/>
    </row>
    <row r="4" spans="2:10" s="99" customFormat="1" ht="15" x14ac:dyDescent="0.2">
      <c r="B4" s="97" t="s">
        <v>214</v>
      </c>
      <c r="D4"/>
      <c r="E4" s="24"/>
      <c r="F4" s="24"/>
      <c r="G4" s="220" t="s">
        <v>4</v>
      </c>
      <c r="H4" s="785"/>
      <c r="I4" s="785"/>
      <c r="J4" s="785"/>
    </row>
    <row r="5" spans="2:10" ht="13.5" thickBot="1" x14ac:dyDescent="0.25">
      <c r="D5" s="102"/>
      <c r="E5" s="104"/>
      <c r="F5" s="104"/>
      <c r="G5" s="105"/>
      <c r="J5" s="31" t="s">
        <v>4</v>
      </c>
    </row>
    <row r="6" spans="2:10" ht="26.1" customHeight="1" thickTop="1" x14ac:dyDescent="0.25">
      <c r="B6" s="320"/>
      <c r="C6" s="721">
        <v>2014</v>
      </c>
      <c r="D6" s="710"/>
      <c r="E6" s="661"/>
      <c r="F6" s="721" t="s">
        <v>231</v>
      </c>
      <c r="G6" s="710"/>
    </row>
    <row r="7" spans="2:10" ht="12.75" customHeight="1" x14ac:dyDescent="0.2">
      <c r="B7" s="722" t="s">
        <v>51</v>
      </c>
      <c r="C7" s="701" t="s">
        <v>217</v>
      </c>
      <c r="D7" s="703" t="s">
        <v>229</v>
      </c>
      <c r="E7" s="786" t="s">
        <v>536</v>
      </c>
      <c r="F7" s="649"/>
      <c r="G7" s="650"/>
    </row>
    <row r="8" spans="2:10" ht="34.5" customHeight="1" thickBot="1" x14ac:dyDescent="0.25">
      <c r="B8" s="723"/>
      <c r="C8" s="702"/>
      <c r="D8" s="704"/>
      <c r="E8" s="787"/>
      <c r="F8" s="651" t="s">
        <v>555</v>
      </c>
      <c r="G8" s="652" t="s">
        <v>556</v>
      </c>
    </row>
    <row r="9" spans="2:10" ht="14.25" thickTop="1" thickBot="1" x14ac:dyDescent="0.25">
      <c r="B9" s="321"/>
      <c r="C9" s="274" t="s">
        <v>230</v>
      </c>
      <c r="D9" s="224" t="s">
        <v>50</v>
      </c>
      <c r="E9" s="223" t="s">
        <v>49</v>
      </c>
      <c r="F9" s="653" t="s">
        <v>541</v>
      </c>
      <c r="G9" s="411" t="s">
        <v>542</v>
      </c>
    </row>
    <row r="10" spans="2:10" s="99" customFormat="1" ht="15.95" customHeight="1" x14ac:dyDescent="0.25">
      <c r="B10" s="322" t="s">
        <v>48</v>
      </c>
      <c r="C10" s="312">
        <f>SUM(C12:C14)</f>
        <v>216578</v>
      </c>
      <c r="D10" s="313">
        <f>SUM(D12:D14)</f>
        <v>229463</v>
      </c>
      <c r="E10" s="346">
        <f>SUM(E12:E14)</f>
        <v>222246</v>
      </c>
      <c r="F10" s="314">
        <f>E10-C10</f>
        <v>5668</v>
      </c>
      <c r="G10" s="335">
        <f t="shared" ref="G10" si="0">E10/C10-1</f>
        <v>2.6170709859727248E-2</v>
      </c>
      <c r="H10" s="349" t="e">
        <f>I10+J10</f>
        <v>#REF!</v>
      </c>
      <c r="I10" s="346">
        <f>F17-C10</f>
        <v>-216578</v>
      </c>
      <c r="J10" s="473" t="e">
        <f>G17-#REF!</f>
        <v>#REF!</v>
      </c>
    </row>
    <row r="11" spans="2:10" ht="10.5" customHeight="1" x14ac:dyDescent="0.2">
      <c r="B11" s="323" t="s">
        <v>47</v>
      </c>
      <c r="C11" s="307"/>
      <c r="D11" s="308"/>
      <c r="E11" s="26"/>
      <c r="F11" s="316"/>
      <c r="G11" s="648"/>
      <c r="H11" s="351"/>
      <c r="I11" s="26"/>
      <c r="J11" s="25"/>
    </row>
    <row r="12" spans="2:10" s="73" customFormat="1" ht="15.95" customHeight="1" x14ac:dyDescent="0.2">
      <c r="B12" s="324" t="s">
        <v>266</v>
      </c>
      <c r="C12" s="113">
        <f>'PO - zdravotnictví'!G19-'PO - zdravotnictví'!G13</f>
        <v>163410</v>
      </c>
      <c r="D12" s="101">
        <f>'PO - zdravotnictví'!M19-'PO - zdravotnictví'!M13</f>
        <v>173507</v>
      </c>
      <c r="E12" s="348">
        <f>'PO - zdravotnictví'!AB19-'PO - zdravotnictví'!AB13</f>
        <v>78275</v>
      </c>
      <c r="F12" s="316">
        <f t="shared" ref="F12:F16" si="1">E12-C12</f>
        <v>-85135</v>
      </c>
      <c r="G12" s="648">
        <f t="shared" ref="G12:G17" si="2">E12/C12-1</f>
        <v>-0.52099014748179429</v>
      </c>
      <c r="H12" s="350" t="e">
        <f>I12+J12</f>
        <v>#REF!</v>
      </c>
      <c r="I12" s="348">
        <f>F12-C12</f>
        <v>-248545</v>
      </c>
      <c r="J12" s="472" t="e">
        <f>G12-#REF!</f>
        <v>#REF!</v>
      </c>
    </row>
    <row r="13" spans="2:10" s="73" customFormat="1" ht="15.95" customHeight="1" x14ac:dyDescent="0.2">
      <c r="B13" s="324" t="s">
        <v>45</v>
      </c>
      <c r="C13" s="113">
        <f>'PO - zdravotnictví'!H19-'PO - zdravotnictví'!H13</f>
        <v>34200</v>
      </c>
      <c r="D13" s="101">
        <f>'PO - zdravotnictví'!N19</f>
        <v>36988</v>
      </c>
      <c r="E13" s="348">
        <f>'PO - zdravotnictví'!AC19</f>
        <v>129005</v>
      </c>
      <c r="F13" s="316">
        <f t="shared" si="1"/>
        <v>94805</v>
      </c>
      <c r="G13" s="648">
        <f t="shared" si="2"/>
        <v>2.7720760233918127</v>
      </c>
      <c r="H13" s="350" t="e">
        <f>I13+J13</f>
        <v>#REF!</v>
      </c>
      <c r="I13" s="348">
        <f>F13-C13</f>
        <v>60605</v>
      </c>
      <c r="J13" s="472" t="e">
        <f>G13-#REF!</f>
        <v>#REF!</v>
      </c>
    </row>
    <row r="14" spans="2:10" s="73" customFormat="1" ht="15.95" customHeight="1" x14ac:dyDescent="0.2">
      <c r="B14" s="324" t="s">
        <v>44</v>
      </c>
      <c r="C14" s="113">
        <f>'PO - zdravotnictví'!J19-'PO - zdravotnictví'!J13</f>
        <v>18968</v>
      </c>
      <c r="D14" s="101">
        <f>'PO - zdravotnictví'!P19</f>
        <v>18968</v>
      </c>
      <c r="E14" s="348">
        <f>'PO - zdravotnictví'!AE19</f>
        <v>14966</v>
      </c>
      <c r="F14" s="316">
        <f t="shared" si="1"/>
        <v>-4002</v>
      </c>
      <c r="G14" s="648">
        <f t="shared" si="2"/>
        <v>-0.21098692534795449</v>
      </c>
      <c r="H14" s="350" t="e">
        <f>I14+J14</f>
        <v>#REF!</v>
      </c>
      <c r="I14" s="348">
        <f>F14-C14</f>
        <v>-22970</v>
      </c>
      <c r="J14" s="472" t="e">
        <f>G14-#REF!</f>
        <v>#REF!</v>
      </c>
    </row>
    <row r="15" spans="2:10" s="74" customFormat="1" ht="15.95" customHeight="1" x14ac:dyDescent="0.25">
      <c r="B15" s="341" t="s">
        <v>43</v>
      </c>
      <c r="C15" s="309">
        <f>'PO - zdravotnictví'!F13</f>
        <v>940</v>
      </c>
      <c r="D15" s="310">
        <f>'PO - zdravotnictví'!M13</f>
        <v>736</v>
      </c>
      <c r="E15" s="38">
        <f>'PO - zdravotnictví'!I13</f>
        <v>0</v>
      </c>
      <c r="F15" s="309">
        <f t="shared" si="1"/>
        <v>-940</v>
      </c>
      <c r="G15" s="403">
        <f t="shared" si="2"/>
        <v>-1</v>
      </c>
      <c r="H15" s="217" t="e">
        <f>I15+J15</f>
        <v>#REF!</v>
      </c>
      <c r="I15" s="38">
        <f>F15-C15</f>
        <v>-1880</v>
      </c>
      <c r="J15" s="39" t="e">
        <f>G15-#REF!</f>
        <v>#REF!</v>
      </c>
    </row>
    <row r="16" spans="2:10" s="77" customFormat="1" ht="15.95" customHeight="1" thickBot="1" x14ac:dyDescent="0.3">
      <c r="B16" s="480" t="s">
        <v>40</v>
      </c>
      <c r="C16" s="481">
        <f>C15+C10</f>
        <v>217518</v>
      </c>
      <c r="D16" s="482">
        <f>D15+D10</f>
        <v>230199</v>
      </c>
      <c r="E16" s="474">
        <f>E15+E10</f>
        <v>222246</v>
      </c>
      <c r="F16" s="481">
        <f t="shared" si="1"/>
        <v>4728</v>
      </c>
      <c r="G16" s="698">
        <f t="shared" si="2"/>
        <v>2.1736132182164303E-2</v>
      </c>
      <c r="H16" s="477" t="e">
        <f>I16+J16</f>
        <v>#REF!</v>
      </c>
      <c r="I16" s="474">
        <f>I15+I10</f>
        <v>-218458</v>
      </c>
      <c r="J16" s="475" t="e">
        <f>J15+J10</f>
        <v>#REF!</v>
      </c>
    </row>
    <row r="17" spans="2:11" ht="15.75" x14ac:dyDescent="0.25">
      <c r="B17" s="341" t="s">
        <v>263</v>
      </c>
      <c r="C17" s="309">
        <f>C18+C19</f>
        <v>8144</v>
      </c>
      <c r="D17" s="310">
        <f>D18+D19</f>
        <v>8144</v>
      </c>
      <c r="E17" s="38">
        <f>E18+E19</f>
        <v>8144</v>
      </c>
      <c r="F17" s="314">
        <f>E17-C17</f>
        <v>0</v>
      </c>
      <c r="G17" s="335">
        <f t="shared" si="2"/>
        <v>0</v>
      </c>
      <c r="H17" s="351"/>
      <c r="I17" s="26"/>
      <c r="J17" s="25"/>
    </row>
    <row r="18" spans="2:11" s="73" customFormat="1" ht="15.95" customHeight="1" x14ac:dyDescent="0.25">
      <c r="B18" s="324" t="s">
        <v>264</v>
      </c>
      <c r="C18" s="113">
        <f>'PO - zdravotnictví'!I19-'PO - zdravotnictví'!I13</f>
        <v>2788</v>
      </c>
      <c r="D18" s="101">
        <f>'PO - zdravotnictví'!O19</f>
        <v>2788</v>
      </c>
      <c r="E18" s="348">
        <f>'PO - zdravotnictví'!AD19</f>
        <v>8144</v>
      </c>
      <c r="F18" s="316">
        <f t="shared" ref="F18:F19" si="3">E18-C18</f>
        <v>5356</v>
      </c>
      <c r="G18" s="648">
        <f t="shared" ref="G18:G19" si="4">E18/C18-1</f>
        <v>1.9210903873744618</v>
      </c>
      <c r="H18" s="478">
        <f>I18+J18</f>
        <v>-2786.0789096126255</v>
      </c>
      <c r="I18" s="27">
        <f>F18-C18</f>
        <v>2568</v>
      </c>
      <c r="J18" s="476">
        <f>G18-C19</f>
        <v>-5354.0789096126255</v>
      </c>
    </row>
    <row r="19" spans="2:11" s="73" customFormat="1" ht="15.95" customHeight="1" x14ac:dyDescent="0.25">
      <c r="B19" s="324" t="s">
        <v>265</v>
      </c>
      <c r="C19" s="113">
        <f>'PO - zdravotnictví'!K19</f>
        <v>5356</v>
      </c>
      <c r="D19" s="101">
        <f>'PO - zdravotnictví'!Q19</f>
        <v>5356</v>
      </c>
      <c r="E19" s="348"/>
      <c r="F19" s="316">
        <f t="shared" si="3"/>
        <v>-5356</v>
      </c>
      <c r="G19" s="648">
        <f t="shared" si="4"/>
        <v>-1</v>
      </c>
      <c r="H19" s="478"/>
      <c r="I19" s="27"/>
      <c r="J19" s="476"/>
    </row>
    <row r="20" spans="2:11" ht="13.5" thickBot="1" x14ac:dyDescent="0.25">
      <c r="B20" s="100"/>
      <c r="C20" s="307"/>
      <c r="D20" s="308"/>
      <c r="E20" s="26"/>
      <c r="F20" s="307"/>
      <c r="G20" s="308"/>
      <c r="H20" s="351"/>
      <c r="I20" s="26"/>
      <c r="J20" s="25"/>
    </row>
    <row r="21" spans="2:11" s="77" customFormat="1" ht="15.95" customHeight="1" thickBot="1" x14ac:dyDescent="0.3">
      <c r="B21" s="436" t="s">
        <v>40</v>
      </c>
      <c r="C21" s="437">
        <f>C17+C16</f>
        <v>225662</v>
      </c>
      <c r="D21" s="483">
        <f t="shared" ref="D21:E21" si="5">D17+D16</f>
        <v>238343</v>
      </c>
      <c r="E21" s="438">
        <f t="shared" si="5"/>
        <v>230390</v>
      </c>
      <c r="F21" s="437">
        <f>E21-C21</f>
        <v>4728</v>
      </c>
      <c r="G21" s="662">
        <f>E21/C21-1</f>
        <v>2.0951688808926727E-2</v>
      </c>
      <c r="H21" s="479" t="e">
        <f>H18+H16</f>
        <v>#REF!</v>
      </c>
      <c r="I21" s="75">
        <f>I18+I16</f>
        <v>-215890</v>
      </c>
      <c r="J21" s="76" t="e">
        <f>J18+J16</f>
        <v>#REF!</v>
      </c>
      <c r="K21" s="619"/>
    </row>
    <row r="22" spans="2:11" ht="15.75" hidden="1" thickTop="1" x14ac:dyDescent="0.25">
      <c r="C22" s="219"/>
      <c r="D22" s="219"/>
      <c r="E22" s="218">
        <v>225662</v>
      </c>
    </row>
    <row r="23" spans="2:11" ht="16.5" hidden="1" thickTop="1" thickBot="1" x14ac:dyDescent="0.3">
      <c r="C23" s="213"/>
      <c r="D23" s="213"/>
      <c r="E23" s="212">
        <f>-E22+E21</f>
        <v>4728</v>
      </c>
    </row>
    <row r="24" spans="2:11" ht="13.5" hidden="1" thickTop="1" x14ac:dyDescent="0.2"/>
    <row r="25" spans="2:11" customFormat="1" ht="15.75" hidden="1" thickTop="1" x14ac:dyDescent="0.2">
      <c r="B25" s="191" t="s">
        <v>211</v>
      </c>
    </row>
    <row r="26" spans="2:11" customFormat="1" ht="15.75" thickTop="1" x14ac:dyDescent="0.2">
      <c r="B26" s="191"/>
    </row>
    <row r="27" spans="2:11" customFormat="1" ht="32.25" customHeight="1" x14ac:dyDescent="0.2">
      <c r="B27" s="745"/>
      <c r="C27" s="746"/>
      <c r="D27" s="318"/>
      <c r="E27" s="311"/>
      <c r="F27" s="345"/>
      <c r="G27" s="345"/>
    </row>
  </sheetData>
  <sheetProtection selectLockedCells="1"/>
  <mergeCells count="11">
    <mergeCell ref="B27:C27"/>
    <mergeCell ref="E2:G2"/>
    <mergeCell ref="E3:G3"/>
    <mergeCell ref="H3:J3"/>
    <mergeCell ref="H4:J4"/>
    <mergeCell ref="D7:D8"/>
    <mergeCell ref="B7:B8"/>
    <mergeCell ref="C7:C8"/>
    <mergeCell ref="E7:E8"/>
    <mergeCell ref="F6:G6"/>
    <mergeCell ref="C6:D6"/>
  </mergeCells>
  <pageMargins left="0.70866141732283472" right="0.70866141732283472" top="0.78740157480314965" bottom="0.78740157480314965" header="0.31496062992125984" footer="0.31496062992125984"/>
  <pageSetup paperSize="9" scale="95" firstPageNumber="73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AH26"/>
  <sheetViews>
    <sheetView showGridLines="0" tabSelected="1" zoomScaleNormal="100" workbookViewId="0">
      <selection activeCell="J29" sqref="J29"/>
    </sheetView>
  </sheetViews>
  <sheetFormatPr defaultRowHeight="12.75" x14ac:dyDescent="0.2"/>
  <cols>
    <col min="1" max="1" width="2.7109375" style="24" customWidth="1"/>
    <col min="2" max="2" width="14.7109375" style="24" hidden="1" customWidth="1"/>
    <col min="3" max="3" width="4.7109375" style="24" hidden="1" customWidth="1"/>
    <col min="4" max="4" width="10.7109375" style="24" hidden="1" customWidth="1"/>
    <col min="5" max="5" width="47.5703125" style="24" customWidth="1"/>
    <col min="6" max="6" width="12.7109375" style="40" customWidth="1"/>
    <col min="7" max="10" width="9.7109375" style="40" customWidth="1"/>
    <col min="11" max="11" width="11.42578125" style="40" customWidth="1"/>
    <col min="12" max="12" width="12.7109375" style="40" customWidth="1"/>
    <col min="13" max="16" width="9.7109375" style="40" customWidth="1"/>
    <col min="17" max="17" width="10.5703125" style="40" customWidth="1"/>
    <col min="18" max="18" width="12.7109375" style="40" hidden="1" customWidth="1"/>
    <col min="19" max="22" width="9.7109375" style="40" hidden="1" customWidth="1"/>
    <col min="23" max="23" width="12.5703125" style="40" hidden="1" customWidth="1"/>
    <col min="24" max="24" width="9.140625" style="40" hidden="1" customWidth="1"/>
    <col min="25" max="26" width="9.140625" style="24" hidden="1" customWidth="1"/>
    <col min="27" max="28" width="9.140625" style="24" customWidth="1"/>
    <col min="29" max="31" width="9.140625" style="24"/>
    <col min="32" max="32" width="9.140625" style="24" hidden="1" customWidth="1"/>
    <col min="33" max="34" width="0" style="24" hidden="1" customWidth="1"/>
    <col min="35" max="16384" width="9.140625" style="24"/>
  </cols>
  <sheetData>
    <row r="2" spans="2:34" ht="21.75" x14ac:dyDescent="0.3">
      <c r="E2" s="69" t="s">
        <v>131</v>
      </c>
      <c r="F2" s="68"/>
      <c r="G2" s="68"/>
      <c r="I2" s="68"/>
      <c r="J2" s="67"/>
      <c r="K2" s="67"/>
      <c r="L2" s="65"/>
      <c r="M2" s="65"/>
      <c r="N2" s="65"/>
      <c r="O2" s="65"/>
      <c r="P2" s="65"/>
      <c r="Q2" s="65"/>
      <c r="R2" s="65"/>
      <c r="S2" s="65"/>
      <c r="T2" s="66" t="s">
        <v>130</v>
      </c>
      <c r="U2" s="65"/>
      <c r="V2" s="65"/>
      <c r="W2" s="65"/>
      <c r="AB2" s="34"/>
      <c r="AC2" s="33"/>
      <c r="AD2" s="32" t="s">
        <v>130</v>
      </c>
    </row>
    <row r="3" spans="2:34" ht="15.75" x14ac:dyDescent="0.25">
      <c r="E3" s="64" t="s">
        <v>547</v>
      </c>
      <c r="F3" s="64"/>
      <c r="G3" s="63"/>
      <c r="I3" s="62"/>
      <c r="J3" s="61"/>
      <c r="K3" s="61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AB3" s="431"/>
      <c r="AC3" s="431"/>
      <c r="AD3" s="431"/>
    </row>
    <row r="4" spans="2:34" ht="15.75" x14ac:dyDescent="0.25">
      <c r="E4" s="64" t="s">
        <v>548</v>
      </c>
      <c r="G4" s="63"/>
      <c r="I4" s="62"/>
      <c r="J4" s="61"/>
      <c r="K4" s="61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AB4" s="431"/>
      <c r="AC4" s="431"/>
      <c r="AD4" s="431"/>
    </row>
    <row r="5" spans="2:34" ht="18" x14ac:dyDescent="0.25">
      <c r="B5" s="59"/>
      <c r="C5" s="59"/>
      <c r="D5" s="59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AD5" s="430" t="s">
        <v>4</v>
      </c>
    </row>
    <row r="7" spans="2:34" ht="13.5" thickBot="1" x14ac:dyDescent="0.25">
      <c r="B7" s="57"/>
      <c r="C7" s="57"/>
      <c r="D7" s="57"/>
      <c r="E7" s="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 t="s">
        <v>4</v>
      </c>
    </row>
    <row r="8" spans="2:34" ht="13.5" thickTop="1" x14ac:dyDescent="0.2">
      <c r="B8" s="320"/>
      <c r="C8" s="439"/>
      <c r="D8" s="440"/>
      <c r="E8" s="320"/>
      <c r="F8" s="794" t="s">
        <v>217</v>
      </c>
      <c r="G8" s="795"/>
      <c r="H8" s="795"/>
      <c r="I8" s="795"/>
      <c r="J8" s="795"/>
      <c r="K8" s="796"/>
      <c r="L8" s="766" t="s">
        <v>234</v>
      </c>
      <c r="M8" s="766"/>
      <c r="N8" s="766"/>
      <c r="O8" s="766"/>
      <c r="P8" s="766"/>
      <c r="Q8" s="641"/>
      <c r="R8" s="790" t="s">
        <v>5</v>
      </c>
      <c r="S8" s="790"/>
      <c r="T8" s="790"/>
      <c r="U8" s="790"/>
      <c r="V8" s="790"/>
      <c r="W8" s="441"/>
      <c r="X8" s="442"/>
      <c r="Y8" s="443"/>
      <c r="Z8" s="443"/>
      <c r="AA8" s="807" t="s">
        <v>538</v>
      </c>
      <c r="AB8" s="795"/>
      <c r="AC8" s="795"/>
      <c r="AD8" s="795"/>
      <c r="AE8" s="808"/>
      <c r="AF8" s="599"/>
      <c r="AH8"/>
    </row>
    <row r="9" spans="2:34" ht="18" customHeight="1" x14ac:dyDescent="0.2">
      <c r="B9" s="791" t="s">
        <v>6</v>
      </c>
      <c r="C9" s="731"/>
      <c r="D9" s="344" t="s">
        <v>7</v>
      </c>
      <c r="E9" s="642" t="s">
        <v>8</v>
      </c>
      <c r="F9" s="797" t="s">
        <v>10</v>
      </c>
      <c r="G9" s="254" t="s">
        <v>9</v>
      </c>
      <c r="H9" s="256"/>
      <c r="I9" s="256"/>
      <c r="J9" s="256"/>
      <c r="K9" s="799" t="s">
        <v>155</v>
      </c>
      <c r="L9" s="801" t="s">
        <v>10</v>
      </c>
      <c r="M9" s="254" t="s">
        <v>9</v>
      </c>
      <c r="N9" s="256"/>
      <c r="O9" s="256"/>
      <c r="P9" s="256"/>
      <c r="Q9" s="803" t="s">
        <v>155</v>
      </c>
      <c r="R9" s="792" t="s">
        <v>10</v>
      </c>
      <c r="S9" s="54" t="s">
        <v>9</v>
      </c>
      <c r="T9" s="72"/>
      <c r="U9" s="72"/>
      <c r="V9" s="72"/>
      <c r="W9" s="812" t="s">
        <v>155</v>
      </c>
      <c r="X9" s="444"/>
      <c r="Y9" s="179"/>
      <c r="Z9" s="179"/>
      <c r="AA9" s="809" t="s">
        <v>10</v>
      </c>
      <c r="AB9" s="254" t="s">
        <v>9</v>
      </c>
      <c r="AC9" s="256"/>
      <c r="AD9" s="256"/>
      <c r="AE9" s="445"/>
      <c r="AF9" s="600"/>
      <c r="AH9"/>
    </row>
    <row r="10" spans="2:34" ht="48" customHeight="1" x14ac:dyDescent="0.2">
      <c r="B10" s="446"/>
      <c r="C10" s="447"/>
      <c r="D10" s="258"/>
      <c r="E10" s="446"/>
      <c r="F10" s="798"/>
      <c r="G10" s="261" t="s">
        <v>11</v>
      </c>
      <c r="H10" s="261" t="s">
        <v>12</v>
      </c>
      <c r="I10" s="261" t="s">
        <v>13</v>
      </c>
      <c r="J10" s="261" t="s">
        <v>14</v>
      </c>
      <c r="K10" s="800"/>
      <c r="L10" s="802"/>
      <c r="M10" s="261" t="s">
        <v>11</v>
      </c>
      <c r="N10" s="261" t="s">
        <v>12</v>
      </c>
      <c r="O10" s="261" t="s">
        <v>13</v>
      </c>
      <c r="P10" s="261" t="s">
        <v>14</v>
      </c>
      <c r="Q10" s="804"/>
      <c r="R10" s="793"/>
      <c r="S10" s="50" t="s">
        <v>11</v>
      </c>
      <c r="T10" s="50" t="s">
        <v>12</v>
      </c>
      <c r="U10" s="50" t="s">
        <v>13</v>
      </c>
      <c r="V10" s="50" t="s">
        <v>14</v>
      </c>
      <c r="W10" s="813"/>
      <c r="X10" s="444" t="s">
        <v>164</v>
      </c>
      <c r="Y10" s="179"/>
      <c r="Z10" s="179"/>
      <c r="AA10" s="810"/>
      <c r="AB10" s="261" t="s">
        <v>11</v>
      </c>
      <c r="AC10" s="261" t="s">
        <v>12</v>
      </c>
      <c r="AD10" s="261" t="s">
        <v>13</v>
      </c>
      <c r="AE10" s="448" t="s">
        <v>14</v>
      </c>
      <c r="AF10" s="600"/>
      <c r="AH10"/>
    </row>
    <row r="11" spans="2:34" ht="13.5" thickBot="1" x14ac:dyDescent="0.25">
      <c r="B11" s="449" t="s">
        <v>15</v>
      </c>
      <c r="C11" s="264" t="s">
        <v>16</v>
      </c>
      <c r="D11" s="221"/>
      <c r="E11" s="321"/>
      <c r="F11" s="274"/>
      <c r="G11" s="223" t="s">
        <v>17</v>
      </c>
      <c r="H11" s="223" t="s">
        <v>18</v>
      </c>
      <c r="I11" s="223" t="s">
        <v>19</v>
      </c>
      <c r="J11" s="223" t="s">
        <v>20</v>
      </c>
      <c r="K11" s="224" t="s">
        <v>19</v>
      </c>
      <c r="L11" s="296"/>
      <c r="M11" s="269" t="s">
        <v>206</v>
      </c>
      <c r="N11" s="223" t="s">
        <v>18</v>
      </c>
      <c r="O11" s="223" t="s">
        <v>19</v>
      </c>
      <c r="P11" s="223" t="s">
        <v>20</v>
      </c>
      <c r="Q11" s="223" t="s">
        <v>19</v>
      </c>
      <c r="R11" s="465"/>
      <c r="S11" s="29" t="s">
        <v>17</v>
      </c>
      <c r="T11" s="29" t="s">
        <v>18</v>
      </c>
      <c r="U11" s="29" t="s">
        <v>19</v>
      </c>
      <c r="V11" s="29" t="s">
        <v>20</v>
      </c>
      <c r="W11" s="28" t="s">
        <v>19</v>
      </c>
      <c r="X11" s="444"/>
      <c r="Y11" s="179"/>
      <c r="Z11" s="179"/>
      <c r="AA11" s="222"/>
      <c r="AB11" s="223" t="s">
        <v>17</v>
      </c>
      <c r="AC11" s="223" t="s">
        <v>18</v>
      </c>
      <c r="AD11" s="223" t="s">
        <v>19</v>
      </c>
      <c r="AE11" s="224" t="s">
        <v>20</v>
      </c>
      <c r="AF11" s="600"/>
      <c r="AH11" s="196">
        <v>0.8</v>
      </c>
    </row>
    <row r="12" spans="2:34" ht="13.5" thickBot="1" x14ac:dyDescent="0.25">
      <c r="B12" s="450"/>
      <c r="C12" s="266"/>
      <c r="D12" s="265"/>
      <c r="E12" s="450"/>
      <c r="F12" s="467" t="s">
        <v>21</v>
      </c>
      <c r="G12" s="732" t="s">
        <v>21</v>
      </c>
      <c r="H12" s="733"/>
      <c r="I12" s="733"/>
      <c r="J12" s="733"/>
      <c r="K12" s="470" t="s">
        <v>154</v>
      </c>
      <c r="L12" s="638" t="s">
        <v>21</v>
      </c>
      <c r="M12" s="732" t="s">
        <v>21</v>
      </c>
      <c r="N12" s="733"/>
      <c r="O12" s="733"/>
      <c r="P12" s="733"/>
      <c r="Q12" s="464" t="s">
        <v>156</v>
      </c>
      <c r="R12" s="639" t="s">
        <v>21</v>
      </c>
      <c r="S12" s="751" t="s">
        <v>21</v>
      </c>
      <c r="T12" s="752"/>
      <c r="U12" s="752"/>
      <c r="V12" s="752"/>
      <c r="W12" s="79" t="s">
        <v>156</v>
      </c>
      <c r="X12" s="198">
        <v>0.75</v>
      </c>
      <c r="Y12" s="451" t="s">
        <v>169</v>
      </c>
      <c r="Z12" s="179"/>
      <c r="AA12" s="267" t="s">
        <v>21</v>
      </c>
      <c r="AB12" s="732" t="s">
        <v>21</v>
      </c>
      <c r="AC12" s="733"/>
      <c r="AD12" s="733"/>
      <c r="AE12" s="811"/>
      <c r="AF12" s="601"/>
      <c r="AH12"/>
    </row>
    <row r="13" spans="2:34" ht="15" thickBot="1" x14ac:dyDescent="0.25">
      <c r="B13" s="452" t="s">
        <v>141</v>
      </c>
      <c r="C13" s="46" t="s">
        <v>142</v>
      </c>
      <c r="D13" s="45"/>
      <c r="E13" s="658" t="s">
        <v>140</v>
      </c>
      <c r="F13" s="468">
        <f t="shared" ref="F13" si="0">SUM(G13:J13)</f>
        <v>940</v>
      </c>
      <c r="G13" s="42">
        <v>940</v>
      </c>
      <c r="H13" s="42"/>
      <c r="I13" s="42"/>
      <c r="J13" s="42"/>
      <c r="K13" s="453"/>
      <c r="L13" s="466">
        <f t="shared" ref="L13:L18" si="1">SUM(M13:P13)</f>
        <v>736</v>
      </c>
      <c r="M13" s="42">
        <v>736</v>
      </c>
      <c r="N13" s="42"/>
      <c r="O13" s="42"/>
      <c r="P13" s="42"/>
      <c r="Q13" s="42"/>
      <c r="R13" s="466" t="e">
        <f t="shared" ref="R13:R18" si="2">SUM(S13:V13)</f>
        <v>#REF!</v>
      </c>
      <c r="S13" s="70" t="e">
        <f>#REF!-G13</f>
        <v>#REF!</v>
      </c>
      <c r="T13" s="70" t="e">
        <f>#REF!-H13</f>
        <v>#REF!</v>
      </c>
      <c r="U13" s="70" t="e">
        <f>#REF!-I13</f>
        <v>#REF!</v>
      </c>
      <c r="V13" s="70" t="e">
        <f>#REF!-J13</f>
        <v>#REF!</v>
      </c>
      <c r="W13" s="70" t="e">
        <f>#REF!-K13</f>
        <v>#REF!</v>
      </c>
      <c r="X13" s="444"/>
      <c r="Y13" s="351"/>
      <c r="Z13" s="351"/>
      <c r="AA13" s="43">
        <f>SUM(AB13:AE13)</f>
        <v>0</v>
      </c>
      <c r="AB13" s="42"/>
      <c r="AC13" s="42"/>
      <c r="AD13" s="42"/>
      <c r="AE13" s="453"/>
      <c r="AF13" s="602"/>
      <c r="AH13"/>
    </row>
    <row r="14" spans="2:34" ht="15" thickBot="1" x14ac:dyDescent="0.25">
      <c r="B14" s="452" t="s">
        <v>139</v>
      </c>
      <c r="C14" s="46" t="s">
        <v>138</v>
      </c>
      <c r="D14" s="45"/>
      <c r="E14" s="658" t="s">
        <v>533</v>
      </c>
      <c r="F14" s="468">
        <f>SUM(G14:J14)</f>
        <v>16020</v>
      </c>
      <c r="G14" s="42">
        <v>16020</v>
      </c>
      <c r="H14" s="42"/>
      <c r="I14" s="42"/>
      <c r="J14" s="42"/>
      <c r="K14" s="453">
        <v>4000</v>
      </c>
      <c r="L14" s="466">
        <f t="shared" si="1"/>
        <v>15539</v>
      </c>
      <c r="M14" s="42">
        <v>15539</v>
      </c>
      <c r="N14" s="42"/>
      <c r="O14" s="42"/>
      <c r="P14" s="42"/>
      <c r="Q14" s="42">
        <v>4000</v>
      </c>
      <c r="R14" s="466" t="e">
        <f t="shared" si="2"/>
        <v>#REF!</v>
      </c>
      <c r="S14" s="70" t="e">
        <f>#REF!-G14</f>
        <v>#REF!</v>
      </c>
      <c r="T14" s="70" t="e">
        <f>#REF!-H14</f>
        <v>#REF!</v>
      </c>
      <c r="U14" s="70" t="e">
        <f>#REF!-I14</f>
        <v>#REF!</v>
      </c>
      <c r="V14" s="70" t="e">
        <f>#REF!-J14</f>
        <v>#REF!</v>
      </c>
      <c r="W14" s="70" t="e">
        <f>#REF!-K14</f>
        <v>#REF!</v>
      </c>
      <c r="X14" s="454" t="e">
        <f>ROUND(0.75*#REF!,0)</f>
        <v>#REF!</v>
      </c>
      <c r="Y14" s="351"/>
      <c r="Z14" s="351"/>
      <c r="AA14" s="43">
        <f>SUM(AB14:AE14)</f>
        <v>31524</v>
      </c>
      <c r="AB14" s="42">
        <f>25558-AF14-AF15-AD14</f>
        <v>20127</v>
      </c>
      <c r="AC14" s="42"/>
      <c r="AD14" s="42">
        <f>4000+1356</f>
        <v>5356</v>
      </c>
      <c r="AE14" s="453">
        <f>4638+1403</f>
        <v>6041</v>
      </c>
      <c r="AF14" s="602">
        <v>50</v>
      </c>
      <c r="AH14" s="108">
        <f>ROUND($AH$11*AE14,0)</f>
        <v>4833</v>
      </c>
    </row>
    <row r="15" spans="2:34" ht="27.75" thickBot="1" x14ac:dyDescent="0.25">
      <c r="B15" s="452" t="s">
        <v>137</v>
      </c>
      <c r="C15" s="46" t="s">
        <v>138</v>
      </c>
      <c r="D15" s="45"/>
      <c r="E15" s="658" t="s">
        <v>534</v>
      </c>
      <c r="F15" s="468">
        <f>SUM(G15:J15)</f>
        <v>8620</v>
      </c>
      <c r="G15" s="42">
        <v>8620</v>
      </c>
      <c r="H15" s="42"/>
      <c r="I15" s="42"/>
      <c r="J15" s="42"/>
      <c r="K15" s="453">
        <v>1356</v>
      </c>
      <c r="L15" s="466">
        <f t="shared" si="1"/>
        <v>8361</v>
      </c>
      <c r="M15" s="42">
        <v>8361</v>
      </c>
      <c r="N15" s="42"/>
      <c r="O15" s="42"/>
      <c r="P15" s="42"/>
      <c r="Q15" s="42">
        <v>1356</v>
      </c>
      <c r="R15" s="466" t="e">
        <f t="shared" si="2"/>
        <v>#REF!</v>
      </c>
      <c r="S15" s="70" t="e">
        <f>#REF!-G15</f>
        <v>#REF!</v>
      </c>
      <c r="T15" s="70" t="e">
        <f>#REF!-H15</f>
        <v>#REF!</v>
      </c>
      <c r="U15" s="70" t="e">
        <f>#REF!-I15</f>
        <v>#REF!</v>
      </c>
      <c r="V15" s="70" t="e">
        <f>#REF!-J15</f>
        <v>#REF!</v>
      </c>
      <c r="W15" s="70" t="e">
        <f>#REF!-K15</f>
        <v>#REF!</v>
      </c>
      <c r="X15" s="454" t="e">
        <f>ROUND(0.75*#REF!,0)</f>
        <v>#REF!</v>
      </c>
      <c r="Y15" s="351"/>
      <c r="Z15" s="351"/>
      <c r="AA15" s="43">
        <f>SUM(AB15:AE15)</f>
        <v>0</v>
      </c>
      <c r="AB15" s="42"/>
      <c r="AC15" s="42"/>
      <c r="AD15" s="42"/>
      <c r="AE15" s="453"/>
      <c r="AF15" s="602">
        <v>25</v>
      </c>
      <c r="AH15" s="108"/>
    </row>
    <row r="16" spans="2:34" s="192" customFormat="1" ht="15" thickBot="1" x14ac:dyDescent="0.25">
      <c r="B16" s="613" t="s">
        <v>136</v>
      </c>
      <c r="C16" s="496" t="s">
        <v>135</v>
      </c>
      <c r="D16" s="497"/>
      <c r="E16" s="659" t="s">
        <v>532</v>
      </c>
      <c r="F16" s="614">
        <f t="shared" ref="F16:F18" si="3">SUM(G16:J16)</f>
        <v>29900</v>
      </c>
      <c r="G16" s="205">
        <v>7740</v>
      </c>
      <c r="H16" s="205">
        <v>21000</v>
      </c>
      <c r="I16" s="205"/>
      <c r="J16" s="205">
        <v>1160</v>
      </c>
      <c r="K16" s="615"/>
      <c r="L16" s="297">
        <f t="shared" si="1"/>
        <v>29668</v>
      </c>
      <c r="M16" s="205">
        <v>7508</v>
      </c>
      <c r="N16" s="205">
        <v>21000</v>
      </c>
      <c r="O16" s="205"/>
      <c r="P16" s="205">
        <v>1160</v>
      </c>
      <c r="Q16" s="205"/>
      <c r="R16" s="297" t="e">
        <f t="shared" si="2"/>
        <v>#REF!</v>
      </c>
      <c r="S16" s="500" t="e">
        <f>#REF!-G16</f>
        <v>#REF!</v>
      </c>
      <c r="T16" s="500" t="e">
        <f>#REF!-H16</f>
        <v>#REF!</v>
      </c>
      <c r="U16" s="500" t="e">
        <f>#REF!-I16</f>
        <v>#REF!</v>
      </c>
      <c r="V16" s="500" t="e">
        <f>#REF!-J16</f>
        <v>#REF!</v>
      </c>
      <c r="W16" s="500" t="e">
        <f>#REF!-K16</f>
        <v>#REF!</v>
      </c>
      <c r="X16" s="616" t="e">
        <f>ROUND($X$12*#REF!,0)</f>
        <v>#REF!</v>
      </c>
      <c r="Y16" s="617"/>
      <c r="Z16" s="617"/>
      <c r="AA16" s="499">
        <f t="shared" ref="AA16:AA18" si="4">SUM(AB16:AE16)</f>
        <v>44407</v>
      </c>
      <c r="AB16" s="205">
        <f>13340-150-AF16-AF17</f>
        <v>13166</v>
      </c>
      <c r="AC16" s="205">
        <v>30200</v>
      </c>
      <c r="AD16" s="205"/>
      <c r="AE16" s="615">
        <f>709+332</f>
        <v>1041</v>
      </c>
      <c r="AF16" s="618">
        <v>17</v>
      </c>
      <c r="AH16" s="108">
        <f>ROUND($AH$11*AE16,0)</f>
        <v>833</v>
      </c>
    </row>
    <row r="17" spans="2:34" s="192" customFormat="1" ht="15" thickBot="1" x14ac:dyDescent="0.25">
      <c r="B17" s="613" t="s">
        <v>134</v>
      </c>
      <c r="C17" s="496" t="s">
        <v>135</v>
      </c>
      <c r="D17" s="497"/>
      <c r="E17" s="659" t="s">
        <v>143</v>
      </c>
      <c r="F17" s="614">
        <f t="shared" si="3"/>
        <v>19808</v>
      </c>
      <c r="G17" s="205">
        <v>6300</v>
      </c>
      <c r="H17" s="205">
        <v>13200</v>
      </c>
      <c r="I17" s="205"/>
      <c r="J17" s="205">
        <v>308</v>
      </c>
      <c r="K17" s="615"/>
      <c r="L17" s="297">
        <f t="shared" si="1"/>
        <v>19619</v>
      </c>
      <c r="M17" s="205">
        <v>6111</v>
      </c>
      <c r="N17" s="205">
        <v>13200</v>
      </c>
      <c r="O17" s="205"/>
      <c r="P17" s="205">
        <v>308</v>
      </c>
      <c r="Q17" s="205"/>
      <c r="R17" s="297" t="e">
        <f t="shared" si="2"/>
        <v>#REF!</v>
      </c>
      <c r="S17" s="500" t="e">
        <f>#REF!-G17</f>
        <v>#REF!</v>
      </c>
      <c r="T17" s="500" t="e">
        <f>#REF!-H17</f>
        <v>#REF!</v>
      </c>
      <c r="U17" s="500" t="e">
        <f>#REF!-I17</f>
        <v>#REF!</v>
      </c>
      <c r="V17" s="500" t="e">
        <f>#REF!-J17</f>
        <v>#REF!</v>
      </c>
      <c r="W17" s="500" t="e">
        <f>#REF!-K17</f>
        <v>#REF!</v>
      </c>
      <c r="X17" s="616" t="e">
        <f>ROUND($X$12*#REF!,0)</f>
        <v>#REF!</v>
      </c>
      <c r="Y17" s="617"/>
      <c r="Z17" s="617"/>
      <c r="AA17" s="499">
        <f t="shared" si="4"/>
        <v>0</v>
      </c>
      <c r="AB17" s="205"/>
      <c r="AC17" s="205"/>
      <c r="AD17" s="205"/>
      <c r="AE17" s="615"/>
      <c r="AF17" s="618">
        <v>7</v>
      </c>
      <c r="AH17" s="108"/>
    </row>
    <row r="18" spans="2:34" s="192" customFormat="1" ht="21" customHeight="1" thickBot="1" x14ac:dyDescent="0.25">
      <c r="B18" s="613" t="s">
        <v>132</v>
      </c>
      <c r="C18" s="496" t="s">
        <v>133</v>
      </c>
      <c r="D18" s="497"/>
      <c r="E18" s="659" t="s">
        <v>163</v>
      </c>
      <c r="F18" s="614">
        <f t="shared" si="3"/>
        <v>145018</v>
      </c>
      <c r="G18" s="205">
        <v>124730</v>
      </c>
      <c r="H18" s="205"/>
      <c r="I18" s="205">
        <v>2788</v>
      </c>
      <c r="J18" s="205">
        <v>17500</v>
      </c>
      <c r="K18" s="615"/>
      <c r="L18" s="297">
        <f t="shared" si="1"/>
        <v>159064</v>
      </c>
      <c r="M18" s="205">
        <f>120988+15000</f>
        <v>135988</v>
      </c>
      <c r="N18" s="205">
        <v>2788</v>
      </c>
      <c r="O18" s="205">
        <v>2788</v>
      </c>
      <c r="P18" s="205">
        <v>17500</v>
      </c>
      <c r="Q18" s="205"/>
      <c r="R18" s="297" t="e">
        <f t="shared" si="2"/>
        <v>#REF!</v>
      </c>
      <c r="S18" s="500" t="e">
        <f>#REF!-G18</f>
        <v>#REF!</v>
      </c>
      <c r="T18" s="500" t="e">
        <f>#REF!-H18</f>
        <v>#REF!</v>
      </c>
      <c r="U18" s="500" t="e">
        <f>#REF!-I18</f>
        <v>#REF!</v>
      </c>
      <c r="V18" s="500" t="e">
        <f>#REF!-J18</f>
        <v>#REF!</v>
      </c>
      <c r="W18" s="500" t="e">
        <f>#REF!-K18</f>
        <v>#REF!</v>
      </c>
      <c r="X18" s="616" t="e">
        <f>ROUND($X$12*#REF!,0)</f>
        <v>#REF!</v>
      </c>
      <c r="Y18" s="617"/>
      <c r="Z18" s="617"/>
      <c r="AA18" s="499">
        <f t="shared" si="4"/>
        <v>154459</v>
      </c>
      <c r="AB18" s="205">
        <f>ROUND(0.3*(150160-360+140),0)</f>
        <v>44982</v>
      </c>
      <c r="AC18" s="205">
        <f>146397-44982-2550-AF18</f>
        <v>98805</v>
      </c>
      <c r="AD18" s="205">
        <v>2788</v>
      </c>
      <c r="AE18" s="615">
        <v>7884</v>
      </c>
      <c r="AF18" s="618">
        <v>60</v>
      </c>
      <c r="AH18" s="108">
        <f>ROUND($AH$11*AE18,0)</f>
        <v>6307</v>
      </c>
    </row>
    <row r="19" spans="2:34" ht="15.75" thickBot="1" x14ac:dyDescent="0.25">
      <c r="B19" s="788" t="s">
        <v>39</v>
      </c>
      <c r="C19" s="789"/>
      <c r="D19" s="455"/>
      <c r="E19" s="660"/>
      <c r="F19" s="469">
        <f>SUM(F13:F18)</f>
        <v>220306</v>
      </c>
      <c r="G19" s="457">
        <f t="shared" ref="G19:J19" si="5">SUM(G13:G18)</f>
        <v>164350</v>
      </c>
      <c r="H19" s="457">
        <f t="shared" si="5"/>
        <v>34200</v>
      </c>
      <c r="I19" s="457">
        <f t="shared" si="5"/>
        <v>2788</v>
      </c>
      <c r="J19" s="458">
        <f t="shared" si="5"/>
        <v>18968</v>
      </c>
      <c r="K19" s="471">
        <f>SUM(K13:K18)</f>
        <v>5356</v>
      </c>
      <c r="L19" s="458">
        <f t="shared" ref="L19:R19" si="6">SUM(L13:L18)</f>
        <v>232987</v>
      </c>
      <c r="M19" s="457">
        <f t="shared" si="6"/>
        <v>174243</v>
      </c>
      <c r="N19" s="457">
        <f t="shared" si="6"/>
        <v>36988</v>
      </c>
      <c r="O19" s="457">
        <f t="shared" si="6"/>
        <v>2788</v>
      </c>
      <c r="P19" s="458">
        <f t="shared" si="6"/>
        <v>18968</v>
      </c>
      <c r="Q19" s="459">
        <f>SUM(Q13:Q18)</f>
        <v>5356</v>
      </c>
      <c r="R19" s="458" t="e">
        <f t="shared" si="6"/>
        <v>#REF!</v>
      </c>
      <c r="S19" s="457" t="e">
        <f>SUM(S13:S18)</f>
        <v>#REF!</v>
      </c>
      <c r="T19" s="457" t="e">
        <f>SUM(T13:T18)</f>
        <v>#REF!</v>
      </c>
      <c r="U19" s="457" t="e">
        <f>SUM(U13:U18)</f>
        <v>#REF!</v>
      </c>
      <c r="V19" s="458" t="e">
        <f>SUM(V13:V18)</f>
        <v>#REF!</v>
      </c>
      <c r="W19" s="459" t="e">
        <f>SUM(W13:W18)</f>
        <v>#REF!</v>
      </c>
      <c r="X19" s="460" t="e">
        <f>SUM(X16:X18)</f>
        <v>#REF!</v>
      </c>
      <c r="Y19" s="461" t="s">
        <v>212</v>
      </c>
      <c r="Z19" s="462"/>
      <c r="AA19" s="456">
        <f>SUM(AA13:AA18)</f>
        <v>230390</v>
      </c>
      <c r="AB19" s="457">
        <f t="shared" ref="AB19:AE19" si="7">SUM(AB13:AB18)</f>
        <v>78275</v>
      </c>
      <c r="AC19" s="457">
        <f t="shared" si="7"/>
        <v>129005</v>
      </c>
      <c r="AD19" s="457">
        <f t="shared" si="7"/>
        <v>8144</v>
      </c>
      <c r="AE19" s="463">
        <f t="shared" si="7"/>
        <v>14966</v>
      </c>
      <c r="AF19" s="603">
        <f>SUM(AF14:AF18)</f>
        <v>159</v>
      </c>
      <c r="AH19" s="108">
        <f>SUM(AH14:AH18)</f>
        <v>11973</v>
      </c>
    </row>
    <row r="20" spans="2:34" ht="3" customHeight="1" thickTop="1" x14ac:dyDescent="0.2">
      <c r="AH20" s="108">
        <f t="shared" ref="AH20" si="8">ROUND($Z$11*AE20,0)</f>
        <v>0</v>
      </c>
    </row>
    <row r="21" spans="2:34" hidden="1" x14ac:dyDescent="0.2">
      <c r="B21" s="36" t="s">
        <v>215</v>
      </c>
      <c r="AH21" s="108">
        <f>SUM(AH14:AH20)</f>
        <v>23946</v>
      </c>
    </row>
    <row r="22" spans="2:34" ht="14.25" x14ac:dyDescent="0.2">
      <c r="E22" s="814" t="s">
        <v>535</v>
      </c>
      <c r="F22" s="815"/>
      <c r="G22" s="815"/>
      <c r="H22" s="815"/>
      <c r="I22" s="815"/>
      <c r="J22" s="815"/>
      <c r="K22" s="815"/>
      <c r="L22" s="815"/>
      <c r="M22" s="815"/>
      <c r="N22" s="815"/>
      <c r="O22" s="815"/>
      <c r="P22" s="815"/>
      <c r="Q22" s="815"/>
      <c r="R22" s="815"/>
      <c r="S22" s="815"/>
      <c r="T22" s="815"/>
      <c r="U22" s="815"/>
      <c r="V22" s="815"/>
      <c r="W22" s="815"/>
      <c r="X22" s="815"/>
      <c r="Y22" s="815"/>
      <c r="Z22" s="815"/>
      <c r="AA22" s="815"/>
      <c r="AB22" s="815"/>
      <c r="AC22" s="815"/>
      <c r="AD22" s="815"/>
      <c r="AE22" s="815"/>
      <c r="AF22" s="815"/>
      <c r="AG22" s="815"/>
      <c r="AH22" s="815"/>
    </row>
    <row r="23" spans="2:34" x14ac:dyDescent="0.2">
      <c r="E23" s="805" t="s">
        <v>549</v>
      </c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F23" s="806"/>
      <c r="AG23" s="806"/>
      <c r="AH23" s="806"/>
    </row>
    <row r="24" spans="2:34" x14ac:dyDescent="0.2">
      <c r="K24" s="114"/>
      <c r="AA24" s="71"/>
    </row>
    <row r="25" spans="2:34" x14ac:dyDescent="0.2">
      <c r="K25" s="114"/>
    </row>
    <row r="26" spans="2:34" x14ac:dyDescent="0.2">
      <c r="K26" s="114"/>
    </row>
  </sheetData>
  <sheetProtection selectLockedCells="1"/>
  <mergeCells count="19">
    <mergeCell ref="E23:AH23"/>
    <mergeCell ref="AA8:AE8"/>
    <mergeCell ref="AA9:AA10"/>
    <mergeCell ref="AB12:AE12"/>
    <mergeCell ref="W9:W10"/>
    <mergeCell ref="E22:AH22"/>
    <mergeCell ref="B19:C19"/>
    <mergeCell ref="L8:P8"/>
    <mergeCell ref="R8:V8"/>
    <mergeCell ref="B9:C9"/>
    <mergeCell ref="G12:J12"/>
    <mergeCell ref="M12:P12"/>
    <mergeCell ref="S12:V12"/>
    <mergeCell ref="R9:R10"/>
    <mergeCell ref="F8:K8"/>
    <mergeCell ref="F9:F10"/>
    <mergeCell ref="K9:K10"/>
    <mergeCell ref="L9:L10"/>
    <mergeCell ref="Q9:Q10"/>
  </mergeCells>
  <conditionalFormatting sqref="J19">
    <cfRule type="cellIs" dxfId="5" priority="11" operator="notEqual">
      <formula>18968</formula>
    </cfRule>
  </conditionalFormatting>
  <conditionalFormatting sqref="I19">
    <cfRule type="cellIs" dxfId="4" priority="10" operator="notEqual">
      <formula>2788</formula>
    </cfRule>
  </conditionalFormatting>
  <conditionalFormatting sqref="K19">
    <cfRule type="cellIs" dxfId="3" priority="9" operator="notEqual">
      <formula>5356</formula>
    </cfRule>
  </conditionalFormatting>
  <conditionalFormatting sqref="H19">
    <cfRule type="cellIs" dxfId="2" priority="8" operator="notEqual">
      <formula>34200</formula>
    </cfRule>
  </conditionalFormatting>
  <conditionalFormatting sqref="G19">
    <cfRule type="cellIs" dxfId="1" priority="7" operator="notEqual">
      <formula>164350</formula>
    </cfRule>
  </conditionalFormatting>
  <conditionalFormatting sqref="F19">
    <cfRule type="cellIs" dxfId="0" priority="6" operator="notEqual">
      <formula>220306</formula>
    </cfRule>
  </conditionalFormatting>
  <pageMargins left="0.70866141732283472" right="0.70866141732283472" top="0.78740157480314965" bottom="0.78740157480314965" header="0.31496062992125984" footer="0.31496062992125984"/>
  <pageSetup paperSize="9" scale="60" firstPageNumber="74" fitToHeight="9999" orientation="landscape" useFirstPageNumber="1" r:id="rId1"/>
  <headerFooter>
    <oddFooter>&amp;L&amp;"Arial,Kurzíva"&amp;12Zastupitelstvo Olomouckého kraje 12-12-2014
6. - Rozpočet Olomouckého kraje 2015 - návrh rozpočtu
Příloha č. 3b): Příspěvkové organizace zřizované Olomouckým krajem&amp;R&amp;"Arial,Kurzíva"&amp;12Strana &amp;P (celkem 127)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4:H97"/>
  <sheetViews>
    <sheetView topLeftCell="A67" zoomScaleNormal="100" workbookViewId="0">
      <selection activeCell="H48" sqref="H48"/>
    </sheetView>
  </sheetViews>
  <sheetFormatPr defaultRowHeight="12.75" x14ac:dyDescent="0.2"/>
  <cols>
    <col min="1" max="1" width="1.5703125" customWidth="1"/>
    <col min="2" max="2" width="29.42578125" customWidth="1"/>
    <col min="3" max="4" width="10.140625" bestFit="1" customWidth="1"/>
    <col min="6" max="6" width="11" customWidth="1"/>
    <col min="7" max="7" width="11.42578125" customWidth="1"/>
    <col min="8" max="8" width="21.140625" customWidth="1"/>
  </cols>
  <sheetData>
    <row r="4" spans="1:8" ht="21" thickBot="1" x14ac:dyDescent="0.35">
      <c r="A4" s="163" t="s">
        <v>167</v>
      </c>
      <c r="B4" s="125"/>
      <c r="F4" s="96" t="s">
        <v>4</v>
      </c>
    </row>
    <row r="5" spans="1:8" ht="13.5" thickTop="1" x14ac:dyDescent="0.2">
      <c r="C5" s="126"/>
      <c r="D5" s="127"/>
      <c r="E5" s="127"/>
      <c r="F5" s="106"/>
    </row>
    <row r="6" spans="1:8" x14ac:dyDescent="0.2">
      <c r="C6" s="128"/>
      <c r="D6" s="129"/>
      <c r="E6" s="823" t="s">
        <v>170</v>
      </c>
      <c r="F6" s="824"/>
      <c r="H6" s="115"/>
    </row>
    <row r="7" spans="1:8" ht="13.5" thickBot="1" x14ac:dyDescent="0.25">
      <c r="C7" s="130" t="s">
        <v>168</v>
      </c>
      <c r="D7" s="131" t="s">
        <v>173</v>
      </c>
      <c r="E7" s="132" t="s">
        <v>169</v>
      </c>
      <c r="F7" s="133" t="s">
        <v>171</v>
      </c>
    </row>
    <row r="8" spans="1:8" ht="13.5" thickTop="1" x14ac:dyDescent="0.2">
      <c r="B8" s="144" t="s">
        <v>178</v>
      </c>
      <c r="C8" s="134">
        <v>182100</v>
      </c>
      <c r="D8" s="134">
        <v>172000</v>
      </c>
      <c r="E8" s="135">
        <f>1-D8/C8</f>
        <v>5.5464030752333859E-2</v>
      </c>
      <c r="F8" s="136">
        <f>D8-C8</f>
        <v>-10100</v>
      </c>
    </row>
    <row r="9" spans="1:8" x14ac:dyDescent="0.2">
      <c r="B9" s="145" t="s">
        <v>179</v>
      </c>
      <c r="C9" s="138">
        <v>35200</v>
      </c>
      <c r="D9" s="138">
        <v>35200</v>
      </c>
      <c r="E9" s="139">
        <f>1-D9/C9</f>
        <v>0</v>
      </c>
      <c r="F9" s="140">
        <f>D9-C9</f>
        <v>0</v>
      </c>
    </row>
    <row r="10" spans="1:8" ht="23.25" customHeight="1" thickBot="1" x14ac:dyDescent="0.3">
      <c r="B10" s="146"/>
      <c r="C10" s="147">
        <f>SUM(C8:C9)</f>
        <v>217300</v>
      </c>
      <c r="D10" s="147">
        <f>SUM(D8:D9)</f>
        <v>207200</v>
      </c>
      <c r="E10" s="142">
        <f>1-D10/C10</f>
        <v>4.6479521398987589E-2</v>
      </c>
      <c r="F10" s="143">
        <f>D10-C10</f>
        <v>-10100</v>
      </c>
    </row>
    <row r="11" spans="1:8" ht="14.25" thickTop="1" thickBot="1" x14ac:dyDescent="0.25">
      <c r="H11" s="96" t="s">
        <v>4</v>
      </c>
    </row>
    <row r="12" spans="1:8" ht="13.5" hidden="1" thickBot="1" x14ac:dyDescent="0.25">
      <c r="E12" s="821" t="s">
        <v>170</v>
      </c>
      <c r="F12" s="821"/>
      <c r="G12" s="822"/>
    </row>
    <row r="13" spans="1:8" ht="23.25" hidden="1" thickBot="1" x14ac:dyDescent="0.25">
      <c r="C13" s="120" t="s">
        <v>168</v>
      </c>
      <c r="D13" s="119" t="s">
        <v>176</v>
      </c>
      <c r="E13" s="124" t="s">
        <v>169</v>
      </c>
      <c r="F13" s="124"/>
      <c r="G13" s="124" t="s">
        <v>171</v>
      </c>
    </row>
    <row r="14" spans="1:8" ht="13.5" hidden="1" thickBot="1" x14ac:dyDescent="0.25">
      <c r="B14" s="103" t="s">
        <v>178</v>
      </c>
      <c r="C14" s="94">
        <v>182000</v>
      </c>
      <c r="D14" s="94">
        <v>176940</v>
      </c>
      <c r="E14" s="116">
        <f>1-D14/C14</f>
        <v>2.7802197802197837E-2</v>
      </c>
      <c r="F14" s="116"/>
      <c r="G14" s="94">
        <f>D14-C14</f>
        <v>-5060</v>
      </c>
    </row>
    <row r="15" spans="1:8" ht="13.5" hidden="1" thickBot="1" x14ac:dyDescent="0.25">
      <c r="B15" s="103" t="s">
        <v>180</v>
      </c>
      <c r="C15" s="94">
        <v>35200</v>
      </c>
      <c r="D15" s="94">
        <v>34200</v>
      </c>
      <c r="E15" s="116">
        <f>1-D15/C15</f>
        <v>2.8409090909090939E-2</v>
      </c>
      <c r="F15" s="116"/>
      <c r="G15" s="94">
        <f>D15-C15</f>
        <v>-1000</v>
      </c>
      <c r="H15" s="115" t="s">
        <v>172</v>
      </c>
    </row>
    <row r="16" spans="1:8" ht="15.75" hidden="1" thickBot="1" x14ac:dyDescent="0.3">
      <c r="C16" s="104">
        <f>SUM(C14:C15)</f>
        <v>217200</v>
      </c>
      <c r="D16" s="94">
        <f>D15+D14</f>
        <v>211140</v>
      </c>
      <c r="E16" s="117">
        <f>1-D16/C16</f>
        <v>2.7900552486187835E-2</v>
      </c>
      <c r="F16" s="117"/>
      <c r="G16" s="118">
        <f>D16-C16</f>
        <v>-6060</v>
      </c>
    </row>
    <row r="17" spans="2:8" ht="13.5" hidden="1" thickBot="1" x14ac:dyDescent="0.25"/>
    <row r="18" spans="2:8" ht="13.5" hidden="1" thickBot="1" x14ac:dyDescent="0.25">
      <c r="B18" s="115" t="s">
        <v>174</v>
      </c>
    </row>
    <row r="19" spans="2:8" ht="16.5" hidden="1" thickBot="1" x14ac:dyDescent="0.3">
      <c r="C19" s="121" t="s">
        <v>175</v>
      </c>
      <c r="D19" s="122"/>
      <c r="E19" s="122"/>
      <c r="F19" s="122"/>
      <c r="G19" s="123">
        <f>F10-G16</f>
        <v>-4040</v>
      </c>
    </row>
    <row r="20" spans="2:8" ht="13.5" hidden="1" thickBot="1" x14ac:dyDescent="0.25"/>
    <row r="21" spans="2:8" ht="13.5" hidden="1" thickBot="1" x14ac:dyDescent="0.25"/>
    <row r="22" spans="2:8" ht="29.25" customHeight="1" thickTop="1" x14ac:dyDescent="0.25">
      <c r="B22" s="161" t="s">
        <v>177</v>
      </c>
      <c r="C22" s="168" t="s">
        <v>168</v>
      </c>
      <c r="D22" s="169" t="s">
        <v>173</v>
      </c>
      <c r="E22" s="170" t="s">
        <v>176</v>
      </c>
      <c r="F22" s="167" t="s">
        <v>194</v>
      </c>
      <c r="G22" s="171" t="s">
        <v>195</v>
      </c>
      <c r="H22" s="106"/>
    </row>
    <row r="23" spans="2:8" ht="15.75" thickBot="1" x14ac:dyDescent="0.3">
      <c r="B23" s="153"/>
      <c r="C23" s="154">
        <f>SUM(C25:C28)</f>
        <v>245948</v>
      </c>
      <c r="D23" s="155">
        <f t="shared" ref="D23:F23" si="0">SUM(D25:D28)</f>
        <v>235848</v>
      </c>
      <c r="E23" s="155">
        <f t="shared" si="0"/>
        <v>238853</v>
      </c>
      <c r="F23" s="155">
        <f t="shared" si="0"/>
        <v>3005</v>
      </c>
      <c r="G23" s="156">
        <f>E23-C23</f>
        <v>-7095</v>
      </c>
      <c r="H23" s="162" t="s">
        <v>186</v>
      </c>
    </row>
    <row r="24" spans="2:8" ht="15.75" thickTop="1" x14ac:dyDescent="0.25">
      <c r="B24" s="160" t="s">
        <v>9</v>
      </c>
      <c r="C24" s="157"/>
      <c r="D24" s="158"/>
      <c r="E24" s="158"/>
      <c r="F24" s="158"/>
      <c r="G24" s="159"/>
      <c r="H24" s="107"/>
    </row>
    <row r="25" spans="2:8" ht="20.25" customHeight="1" x14ac:dyDescent="0.2">
      <c r="B25" s="137" t="s">
        <v>182</v>
      </c>
      <c r="C25" s="150">
        <v>182100</v>
      </c>
      <c r="D25" s="138">
        <v>172000</v>
      </c>
      <c r="E25" s="138">
        <v>176940</v>
      </c>
      <c r="F25" s="138">
        <f>E25-D25</f>
        <v>4940</v>
      </c>
      <c r="G25" s="151">
        <f>E25-C25</f>
        <v>-5160</v>
      </c>
      <c r="H25" s="107"/>
    </row>
    <row r="26" spans="2:8" ht="32.25" customHeight="1" x14ac:dyDescent="0.2">
      <c r="B26" s="175" t="s">
        <v>183</v>
      </c>
      <c r="C26" s="150">
        <v>35200</v>
      </c>
      <c r="D26" s="138">
        <v>35200</v>
      </c>
      <c r="E26" s="138">
        <v>34200</v>
      </c>
      <c r="F26" s="138">
        <f t="shared" ref="F26:F28" si="1">E26-D26</f>
        <v>-1000</v>
      </c>
      <c r="G26" s="151">
        <f t="shared" ref="G26:G28" si="2">E26-C26</f>
        <v>-1000</v>
      </c>
      <c r="H26" s="173" t="s">
        <v>172</v>
      </c>
    </row>
    <row r="27" spans="2:8" x14ac:dyDescent="0.2">
      <c r="B27" s="175" t="s">
        <v>184</v>
      </c>
      <c r="C27" s="150">
        <v>8018</v>
      </c>
      <c r="D27" s="138">
        <v>8018</v>
      </c>
      <c r="E27" s="138">
        <f>2698+5356</f>
        <v>8054</v>
      </c>
      <c r="F27" s="138">
        <f t="shared" si="1"/>
        <v>36</v>
      </c>
      <c r="G27" s="151">
        <f t="shared" si="2"/>
        <v>36</v>
      </c>
      <c r="H27" s="107"/>
    </row>
    <row r="28" spans="2:8" x14ac:dyDescent="0.2">
      <c r="B28" s="137" t="s">
        <v>185</v>
      </c>
      <c r="C28" s="150">
        <v>20630</v>
      </c>
      <c r="D28" s="138">
        <v>20630</v>
      </c>
      <c r="E28" s="138">
        <v>19659</v>
      </c>
      <c r="F28" s="138">
        <f t="shared" si="1"/>
        <v>-971</v>
      </c>
      <c r="G28" s="151">
        <f t="shared" si="2"/>
        <v>-971</v>
      </c>
      <c r="H28" s="107"/>
    </row>
    <row r="29" spans="2:8" ht="5.25" customHeight="1" thickBot="1" x14ac:dyDescent="0.25">
      <c r="B29" s="141"/>
      <c r="C29" s="152"/>
      <c r="D29" s="148"/>
      <c r="E29" s="148"/>
      <c r="F29" s="148"/>
      <c r="G29" s="149"/>
      <c r="H29" s="149"/>
    </row>
    <row r="30" spans="2:8" ht="13.5" thickTop="1" x14ac:dyDescent="0.2"/>
    <row r="31" spans="2:8" x14ac:dyDescent="0.2">
      <c r="B31" s="825" t="s">
        <v>165</v>
      </c>
      <c r="C31" s="817"/>
      <c r="D31" s="817"/>
      <c r="E31" s="817"/>
      <c r="F31" s="817"/>
      <c r="G31" s="817"/>
      <c r="H31" s="817"/>
    </row>
    <row r="32" spans="2:8" x14ac:dyDescent="0.2">
      <c r="B32" s="817"/>
      <c r="C32" s="817"/>
      <c r="D32" s="817"/>
      <c r="E32" s="817"/>
      <c r="F32" s="817"/>
      <c r="G32" s="817"/>
      <c r="H32" s="817"/>
    </row>
    <row r="33" spans="1:8" x14ac:dyDescent="0.2">
      <c r="B33" s="817"/>
      <c r="C33" s="817"/>
      <c r="D33" s="817"/>
      <c r="E33" s="817"/>
      <c r="F33" s="817"/>
      <c r="G33" s="817"/>
      <c r="H33" s="817"/>
    </row>
    <row r="34" spans="1:8" ht="4.5" customHeight="1" x14ac:dyDescent="0.2">
      <c r="B34" s="817"/>
      <c r="C34" s="817"/>
      <c r="D34" s="817"/>
      <c r="E34" s="817"/>
      <c r="F34" s="817"/>
      <c r="G34" s="817"/>
      <c r="H34" s="817"/>
    </row>
    <row r="35" spans="1:8" x14ac:dyDescent="0.2">
      <c r="B35" s="817"/>
      <c r="C35" s="817"/>
      <c r="D35" s="817"/>
      <c r="E35" s="817"/>
      <c r="F35" s="817"/>
      <c r="G35" s="817"/>
      <c r="H35" s="817"/>
    </row>
    <row r="36" spans="1:8" x14ac:dyDescent="0.2">
      <c r="B36" s="817"/>
      <c r="C36" s="817"/>
      <c r="D36" s="817"/>
      <c r="E36" s="817"/>
      <c r="F36" s="817"/>
      <c r="G36" s="817"/>
      <c r="H36" s="817"/>
    </row>
    <row r="37" spans="1:8" x14ac:dyDescent="0.2">
      <c r="B37" s="820" t="s">
        <v>166</v>
      </c>
      <c r="C37" s="817"/>
      <c r="D37" s="817"/>
      <c r="E37" s="817"/>
      <c r="F37" s="817"/>
      <c r="G37" s="817"/>
      <c r="H37" s="817"/>
    </row>
    <row r="38" spans="1:8" x14ac:dyDescent="0.2">
      <c r="B38" s="817"/>
      <c r="C38" s="817"/>
      <c r="D38" s="817"/>
      <c r="E38" s="817"/>
      <c r="F38" s="817"/>
      <c r="G38" s="817"/>
      <c r="H38" s="817"/>
    </row>
    <row r="39" spans="1:8" x14ac:dyDescent="0.2">
      <c r="B39" s="817"/>
      <c r="C39" s="817"/>
      <c r="D39" s="817"/>
      <c r="E39" s="817"/>
      <c r="F39" s="817"/>
      <c r="G39" s="817"/>
      <c r="H39" s="817"/>
    </row>
    <row r="40" spans="1:8" x14ac:dyDescent="0.2">
      <c r="B40" s="817"/>
      <c r="C40" s="817"/>
      <c r="D40" s="817"/>
      <c r="E40" s="817"/>
      <c r="F40" s="817"/>
      <c r="G40" s="817"/>
      <c r="H40" s="817"/>
    </row>
    <row r="46" spans="1:8" ht="24" thickBot="1" x14ac:dyDescent="0.4">
      <c r="A46" s="165" t="s">
        <v>187</v>
      </c>
      <c r="B46" s="125"/>
      <c r="F46" s="96" t="s">
        <v>4</v>
      </c>
    </row>
    <row r="47" spans="1:8" ht="13.5" thickTop="1" x14ac:dyDescent="0.2">
      <c r="C47" s="126"/>
      <c r="D47" s="127"/>
      <c r="E47" s="127"/>
      <c r="F47" s="106"/>
    </row>
    <row r="48" spans="1:8" x14ac:dyDescent="0.2">
      <c r="C48" s="128"/>
      <c r="D48" s="129"/>
      <c r="E48" s="132" t="s">
        <v>170</v>
      </c>
      <c r="F48" s="166"/>
      <c r="H48" s="115"/>
    </row>
    <row r="49" spans="2:8" ht="13.5" thickBot="1" x14ac:dyDescent="0.25">
      <c r="C49" s="130" t="s">
        <v>168</v>
      </c>
      <c r="D49" s="131" t="s">
        <v>173</v>
      </c>
      <c r="E49" s="132" t="s">
        <v>169</v>
      </c>
      <c r="F49" s="133" t="s">
        <v>171</v>
      </c>
    </row>
    <row r="50" spans="2:8" ht="13.5" thickTop="1" x14ac:dyDescent="0.2">
      <c r="B50" s="144" t="s">
        <v>178</v>
      </c>
      <c r="C50" s="134">
        <v>156608</v>
      </c>
      <c r="D50" s="134">
        <v>148000</v>
      </c>
      <c r="E50" s="135">
        <f>1-D50/C50</f>
        <v>5.496526358806697E-2</v>
      </c>
      <c r="F50" s="136">
        <f>D50-C50</f>
        <v>-8608</v>
      </c>
    </row>
    <row r="51" spans="2:8" x14ac:dyDescent="0.2">
      <c r="B51" s="174" t="s">
        <v>179</v>
      </c>
      <c r="C51" s="138"/>
      <c r="D51" s="138"/>
      <c r="E51" s="139"/>
      <c r="F51" s="140"/>
    </row>
    <row r="52" spans="2:8" ht="15.75" thickBot="1" x14ac:dyDescent="0.3">
      <c r="B52" s="146"/>
      <c r="C52" s="147">
        <f>SUM(C50:C51)</f>
        <v>156608</v>
      </c>
      <c r="D52" s="147">
        <f>SUM(D50:D51)</f>
        <v>148000</v>
      </c>
      <c r="E52" s="142">
        <f>1-D52/C52</f>
        <v>5.496526358806697E-2</v>
      </c>
      <c r="F52" s="143">
        <f>D52-C52</f>
        <v>-8608</v>
      </c>
    </row>
    <row r="53" spans="2:8" ht="14.25" thickTop="1" thickBot="1" x14ac:dyDescent="0.25">
      <c r="H53" s="96" t="s">
        <v>4</v>
      </c>
    </row>
    <row r="54" spans="2:8" ht="29.25" customHeight="1" thickTop="1" x14ac:dyDescent="0.25">
      <c r="B54" s="161" t="s">
        <v>177</v>
      </c>
      <c r="C54" s="168" t="s">
        <v>168</v>
      </c>
      <c r="D54" s="169" t="s">
        <v>173</v>
      </c>
      <c r="E54" s="170" t="s">
        <v>176</v>
      </c>
      <c r="F54" s="172" t="s">
        <v>194</v>
      </c>
      <c r="G54" s="171" t="s">
        <v>195</v>
      </c>
      <c r="H54" s="106"/>
    </row>
    <row r="55" spans="2:8" ht="15.75" thickBot="1" x14ac:dyDescent="0.3">
      <c r="B55" s="153"/>
      <c r="C55" s="154">
        <f>SUM(C57:C58)</f>
        <v>184254</v>
      </c>
      <c r="D55" s="155">
        <f>SUM(D57:D58)</f>
        <v>175646</v>
      </c>
      <c r="E55" s="155">
        <f>SUM(E57:E58)</f>
        <v>310593</v>
      </c>
      <c r="F55" s="155">
        <f>SUM(F57:F58)</f>
        <v>134947</v>
      </c>
      <c r="G55" s="156">
        <f>E55-C55</f>
        <v>126339</v>
      </c>
      <c r="H55" s="162" t="s">
        <v>186</v>
      </c>
    </row>
    <row r="56" spans="2:8" ht="15.75" thickTop="1" x14ac:dyDescent="0.25">
      <c r="B56" s="160" t="s">
        <v>9</v>
      </c>
      <c r="C56" s="157"/>
      <c r="D56" s="158"/>
      <c r="E56" s="158"/>
      <c r="F56" s="158"/>
      <c r="G56" s="159"/>
      <c r="H56" s="107"/>
    </row>
    <row r="57" spans="2:8" ht="20.25" customHeight="1" x14ac:dyDescent="0.2">
      <c r="B57" s="137" t="s">
        <v>182</v>
      </c>
      <c r="C57" s="150">
        <v>156608</v>
      </c>
      <c r="D57" s="138">
        <v>148000</v>
      </c>
      <c r="E57" s="138">
        <v>278957</v>
      </c>
      <c r="F57" s="138">
        <f t="shared" ref="F57:F58" si="3">E57-D57</f>
        <v>130957</v>
      </c>
      <c r="G57" s="151">
        <f t="shared" ref="G57:G58" si="4">E57-C57</f>
        <v>122349</v>
      </c>
      <c r="H57" s="107"/>
    </row>
    <row r="58" spans="2:8" x14ac:dyDescent="0.2">
      <c r="B58" s="137" t="s">
        <v>188</v>
      </c>
      <c r="C58" s="150">
        <v>27646</v>
      </c>
      <c r="D58" s="138">
        <v>27646</v>
      </c>
      <c r="E58" s="138">
        <v>31636</v>
      </c>
      <c r="F58" s="138">
        <f t="shared" si="3"/>
        <v>3990</v>
      </c>
      <c r="G58" s="151">
        <f t="shared" si="4"/>
        <v>3990</v>
      </c>
      <c r="H58" s="107"/>
    </row>
    <row r="59" spans="2:8" ht="6.75" customHeight="1" thickBot="1" x14ac:dyDescent="0.25">
      <c r="B59" s="141"/>
      <c r="C59" s="152"/>
      <c r="D59" s="148"/>
      <c r="E59" s="148"/>
      <c r="F59" s="148"/>
      <c r="G59" s="149"/>
      <c r="H59" s="149"/>
    </row>
    <row r="60" spans="2:8" ht="15.95" customHeight="1" thickTop="1" x14ac:dyDescent="0.2">
      <c r="B60" s="129"/>
      <c r="C60" s="138"/>
      <c r="D60" s="138"/>
      <c r="E60" s="138"/>
      <c r="F60" s="138"/>
      <c r="G60" s="129"/>
      <c r="H60" s="129"/>
    </row>
    <row r="61" spans="2:8" ht="15.95" customHeight="1" x14ac:dyDescent="0.2">
      <c r="B61" s="816" t="s">
        <v>196</v>
      </c>
      <c r="C61" s="817"/>
      <c r="D61" s="817"/>
      <c r="E61" s="817"/>
      <c r="F61" s="817"/>
      <c r="G61" s="817"/>
      <c r="H61" s="817"/>
    </row>
    <row r="62" spans="2:8" ht="10.5" customHeight="1" x14ac:dyDescent="0.2">
      <c r="B62" s="817"/>
      <c r="C62" s="817"/>
      <c r="D62" s="817"/>
      <c r="E62" s="817"/>
      <c r="F62" s="817"/>
      <c r="G62" s="817"/>
      <c r="H62" s="817"/>
    </row>
    <row r="63" spans="2:8" ht="15.95" customHeight="1" x14ac:dyDescent="0.2">
      <c r="B63" s="817"/>
      <c r="C63" s="817"/>
      <c r="D63" s="817"/>
      <c r="E63" s="817"/>
      <c r="F63" s="817"/>
      <c r="G63" s="817"/>
      <c r="H63" s="817"/>
    </row>
    <row r="64" spans="2:8" ht="15.95" customHeight="1" x14ac:dyDescent="0.2">
      <c r="B64" s="818" t="s">
        <v>197</v>
      </c>
      <c r="C64" s="819"/>
      <c r="D64" s="819"/>
      <c r="E64" s="819"/>
      <c r="F64" s="819"/>
      <c r="G64" s="819"/>
      <c r="H64" s="819"/>
    </row>
    <row r="65" spans="1:8" ht="15.95" customHeight="1" x14ac:dyDescent="0.2">
      <c r="B65" s="819"/>
      <c r="C65" s="819"/>
      <c r="D65" s="819"/>
      <c r="E65" s="819"/>
      <c r="F65" s="819"/>
      <c r="G65" s="819"/>
      <c r="H65" s="819"/>
    </row>
    <row r="66" spans="1:8" ht="15.95" customHeight="1" x14ac:dyDescent="0.2">
      <c r="B66" s="819"/>
      <c r="C66" s="819"/>
      <c r="D66" s="819"/>
      <c r="E66" s="819"/>
      <c r="F66" s="819"/>
      <c r="G66" s="819"/>
      <c r="H66" s="819"/>
    </row>
    <row r="67" spans="1:8" ht="15.95" customHeight="1" x14ac:dyDescent="0.2">
      <c r="B67" s="819"/>
      <c r="C67" s="819"/>
      <c r="D67" s="819"/>
      <c r="E67" s="819"/>
      <c r="F67" s="819"/>
      <c r="G67" s="819"/>
      <c r="H67" s="819"/>
    </row>
    <row r="68" spans="1:8" ht="15.95" customHeight="1" x14ac:dyDescent="0.2">
      <c r="B68" s="819"/>
      <c r="C68" s="819"/>
      <c r="D68" s="819"/>
      <c r="E68" s="819"/>
      <c r="F68" s="819"/>
      <c r="G68" s="819"/>
      <c r="H68" s="819"/>
    </row>
    <row r="69" spans="1:8" ht="15.95" customHeight="1" x14ac:dyDescent="0.2">
      <c r="B69" s="819"/>
      <c r="C69" s="819"/>
      <c r="D69" s="819"/>
      <c r="E69" s="819"/>
      <c r="F69" s="819"/>
      <c r="G69" s="819"/>
      <c r="H69" s="819"/>
    </row>
    <row r="70" spans="1:8" ht="15.95" customHeight="1" x14ac:dyDescent="0.2">
      <c r="B70" s="129"/>
      <c r="C70" s="138"/>
      <c r="D70" s="138"/>
      <c r="E70" s="138"/>
      <c r="F70" s="138"/>
      <c r="G70" s="129"/>
      <c r="H70" s="129"/>
    </row>
    <row r="71" spans="1:8" ht="15.95" customHeight="1" x14ac:dyDescent="0.2">
      <c r="B71" s="129"/>
      <c r="C71" s="138"/>
      <c r="D71" s="138"/>
      <c r="E71" s="138"/>
      <c r="F71" s="138"/>
      <c r="G71" s="129"/>
      <c r="H71" s="129"/>
    </row>
    <row r="74" spans="1:8" ht="24" thickBot="1" x14ac:dyDescent="0.4">
      <c r="A74" s="165" t="s">
        <v>189</v>
      </c>
      <c r="B74" s="125"/>
      <c r="F74" s="96" t="s">
        <v>4</v>
      </c>
    </row>
    <row r="75" spans="1:8" ht="13.5" thickTop="1" x14ac:dyDescent="0.2">
      <c r="C75" s="126"/>
      <c r="D75" s="127"/>
      <c r="E75" s="127"/>
      <c r="F75" s="106"/>
    </row>
    <row r="76" spans="1:8" x14ac:dyDescent="0.2">
      <c r="C76" s="128"/>
      <c r="D76" s="129"/>
      <c r="E76" s="132" t="s">
        <v>170</v>
      </c>
      <c r="F76" s="166"/>
      <c r="H76" s="115"/>
    </row>
    <row r="77" spans="1:8" ht="13.5" thickBot="1" x14ac:dyDescent="0.25">
      <c r="C77" s="130" t="s">
        <v>168</v>
      </c>
      <c r="D77" s="131" t="s">
        <v>173</v>
      </c>
      <c r="E77" s="132" t="s">
        <v>169</v>
      </c>
      <c r="F77" s="133" t="s">
        <v>171</v>
      </c>
    </row>
    <row r="78" spans="1:8" ht="13.5" thickTop="1" x14ac:dyDescent="0.2">
      <c r="B78" s="144" t="s">
        <v>178</v>
      </c>
      <c r="C78" s="134">
        <v>52609</v>
      </c>
      <c r="D78" s="134">
        <v>48000</v>
      </c>
      <c r="E78" s="135">
        <f>1-D78/C78</f>
        <v>8.7608584082571439E-2</v>
      </c>
      <c r="F78" s="136">
        <f>D78-C78</f>
        <v>-4609</v>
      </c>
    </row>
    <row r="79" spans="1:8" x14ac:dyDescent="0.2">
      <c r="B79" s="174" t="s">
        <v>179</v>
      </c>
      <c r="C79" s="138">
        <v>61387</v>
      </c>
      <c r="D79" s="138">
        <v>61387</v>
      </c>
      <c r="E79" s="139">
        <f>1-D79/C79</f>
        <v>0</v>
      </c>
      <c r="F79" s="140">
        <f>D79-C79</f>
        <v>0</v>
      </c>
    </row>
    <row r="80" spans="1:8" ht="15.75" thickBot="1" x14ac:dyDescent="0.3">
      <c r="B80" s="146"/>
      <c r="C80" s="147">
        <f>SUM(C78:C79)</f>
        <v>113996</v>
      </c>
      <c r="D80" s="147">
        <f>SUM(D78:D79)</f>
        <v>109387</v>
      </c>
      <c r="E80" s="142">
        <f>1-D80/C80</f>
        <v>4.043124320151581E-2</v>
      </c>
      <c r="F80" s="143">
        <f>D80-C80</f>
        <v>-4609</v>
      </c>
    </row>
    <row r="81" spans="2:8" ht="14.25" thickTop="1" thickBot="1" x14ac:dyDescent="0.25">
      <c r="H81" s="96" t="s">
        <v>4</v>
      </c>
    </row>
    <row r="82" spans="2:8" ht="25.5" thickTop="1" x14ac:dyDescent="0.25">
      <c r="B82" s="161" t="s">
        <v>177</v>
      </c>
      <c r="C82" s="168" t="s">
        <v>168</v>
      </c>
      <c r="D82" s="169" t="s">
        <v>173</v>
      </c>
      <c r="E82" s="170" t="s">
        <v>176</v>
      </c>
      <c r="F82" s="172" t="s">
        <v>194</v>
      </c>
      <c r="G82" s="171" t="s">
        <v>181</v>
      </c>
      <c r="H82" s="106"/>
    </row>
    <row r="83" spans="2:8" ht="15.75" thickBot="1" x14ac:dyDescent="0.3">
      <c r="B83" s="153"/>
      <c r="C83" s="154">
        <f>SUM(C85:C90)</f>
        <v>128681</v>
      </c>
      <c r="D83" s="155">
        <f>SUM(D85:D90)</f>
        <v>124072</v>
      </c>
      <c r="E83" s="155" t="e">
        <f>SUM(E85:E90)</f>
        <v>#REF!</v>
      </c>
      <c r="F83" s="155" t="e">
        <f>SUM(F85:F90)</f>
        <v>#REF!</v>
      </c>
      <c r="G83" s="156" t="e">
        <f>E83-C83</f>
        <v>#REF!</v>
      </c>
      <c r="H83" s="162" t="s">
        <v>186</v>
      </c>
    </row>
    <row r="84" spans="2:8" ht="15.75" thickTop="1" x14ac:dyDescent="0.25">
      <c r="B84" s="160" t="s">
        <v>9</v>
      </c>
      <c r="C84" s="157"/>
      <c r="D84" s="158"/>
      <c r="E84" s="158"/>
      <c r="F84" s="158"/>
      <c r="G84" s="159"/>
      <c r="H84" s="107"/>
    </row>
    <row r="85" spans="2:8" x14ac:dyDescent="0.2">
      <c r="B85" s="137" t="s">
        <v>182</v>
      </c>
      <c r="C85" s="150">
        <v>52609</v>
      </c>
      <c r="D85" s="138">
        <v>48000</v>
      </c>
      <c r="E85" s="138" t="e">
        <f>'PO - kultura'!#REF!</f>
        <v>#REF!</v>
      </c>
      <c r="F85" s="138" t="e">
        <f t="shared" ref="F85:F90" si="5">E85-D85</f>
        <v>#REF!</v>
      </c>
      <c r="G85" s="151" t="e">
        <f t="shared" ref="G85:G90" si="6">E85-C85</f>
        <v>#REF!</v>
      </c>
      <c r="H85" s="107"/>
    </row>
    <row r="86" spans="2:8" x14ac:dyDescent="0.2">
      <c r="B86" s="175" t="s">
        <v>183</v>
      </c>
      <c r="C86" s="150">
        <v>61387</v>
      </c>
      <c r="D86" s="138">
        <v>61387</v>
      </c>
      <c r="E86" s="138" t="e">
        <f>'PO - kultura'!#REF!</f>
        <v>#REF!</v>
      </c>
      <c r="F86" s="138" t="e">
        <f t="shared" si="5"/>
        <v>#REF!</v>
      </c>
      <c r="G86" s="151" t="e">
        <f t="shared" si="6"/>
        <v>#REF!</v>
      </c>
      <c r="H86" s="107"/>
    </row>
    <row r="87" spans="2:8" x14ac:dyDescent="0.2">
      <c r="B87" s="137" t="s">
        <v>190</v>
      </c>
      <c r="C87" s="150">
        <v>1596</v>
      </c>
      <c r="D87" s="138">
        <v>1596</v>
      </c>
      <c r="E87" s="138" t="e">
        <f>'PO - kultura'!#REF!</f>
        <v>#REF!</v>
      </c>
      <c r="F87" s="138" t="e">
        <f t="shared" si="5"/>
        <v>#REF!</v>
      </c>
      <c r="G87" s="151" t="e">
        <f t="shared" si="6"/>
        <v>#REF!</v>
      </c>
      <c r="H87" s="107"/>
    </row>
    <row r="88" spans="2:8" x14ac:dyDescent="0.2">
      <c r="B88" s="137" t="s">
        <v>185</v>
      </c>
      <c r="C88" s="150">
        <v>12489</v>
      </c>
      <c r="D88" s="138">
        <v>12489</v>
      </c>
      <c r="E88" s="138" t="e">
        <f>'PO - kultura'!#REF!</f>
        <v>#REF!</v>
      </c>
      <c r="F88" s="138" t="e">
        <f t="shared" si="5"/>
        <v>#REF!</v>
      </c>
      <c r="G88" s="151" t="e">
        <f t="shared" si="6"/>
        <v>#REF!</v>
      </c>
      <c r="H88" s="107"/>
    </row>
    <row r="89" spans="2:8" x14ac:dyDescent="0.2">
      <c r="B89" s="137" t="s">
        <v>191</v>
      </c>
      <c r="C89" s="150">
        <v>300</v>
      </c>
      <c r="D89" s="138">
        <v>300</v>
      </c>
      <c r="E89" s="138" t="e">
        <f>'PO - kultura'!#REF!</f>
        <v>#REF!</v>
      </c>
      <c r="F89" s="138" t="e">
        <f t="shared" si="5"/>
        <v>#REF!</v>
      </c>
      <c r="G89" s="151" t="e">
        <f t="shared" si="6"/>
        <v>#REF!</v>
      </c>
      <c r="H89" s="107"/>
    </row>
    <row r="90" spans="2:8" x14ac:dyDescent="0.2">
      <c r="B90" s="137" t="s">
        <v>192</v>
      </c>
      <c r="C90" s="150">
        <v>300</v>
      </c>
      <c r="D90" s="138">
        <v>300</v>
      </c>
      <c r="E90" s="138" t="e">
        <f>'PO - kultura'!#REF!</f>
        <v>#REF!</v>
      </c>
      <c r="F90" s="138" t="e">
        <f t="shared" si="5"/>
        <v>#REF!</v>
      </c>
      <c r="G90" s="151" t="e">
        <f t="shared" si="6"/>
        <v>#REF!</v>
      </c>
      <c r="H90" s="107"/>
    </row>
    <row r="91" spans="2:8" ht="7.5" customHeight="1" thickBot="1" x14ac:dyDescent="0.25">
      <c r="B91" s="164"/>
      <c r="C91" s="152"/>
      <c r="D91" s="148"/>
      <c r="E91" s="148"/>
      <c r="F91" s="148"/>
      <c r="G91" s="149"/>
      <c r="H91" s="149"/>
    </row>
    <row r="92" spans="2:8" ht="13.5" thickTop="1" x14ac:dyDescent="0.2"/>
    <row r="94" spans="2:8" x14ac:dyDescent="0.2">
      <c r="B94" s="820" t="s">
        <v>198</v>
      </c>
      <c r="C94" s="817"/>
      <c r="D94" s="817"/>
      <c r="E94" s="817"/>
      <c r="F94" s="817"/>
      <c r="G94" s="817"/>
      <c r="H94" s="817"/>
    </row>
    <row r="95" spans="2:8" x14ac:dyDescent="0.2">
      <c r="B95" s="817"/>
      <c r="C95" s="817"/>
      <c r="D95" s="817"/>
      <c r="E95" s="817"/>
      <c r="F95" s="817"/>
      <c r="G95" s="817"/>
      <c r="H95" s="817"/>
    </row>
    <row r="96" spans="2:8" x14ac:dyDescent="0.2">
      <c r="B96" s="817"/>
      <c r="C96" s="817"/>
      <c r="D96" s="817"/>
      <c r="E96" s="817"/>
      <c r="F96" s="817"/>
      <c r="G96" s="817"/>
      <c r="H96" s="817"/>
    </row>
    <row r="97" spans="2:8" x14ac:dyDescent="0.2">
      <c r="B97" s="817"/>
      <c r="C97" s="817"/>
      <c r="D97" s="817"/>
      <c r="E97" s="817"/>
      <c r="F97" s="817"/>
      <c r="G97" s="817"/>
      <c r="H97" s="817"/>
    </row>
  </sheetData>
  <mergeCells count="7">
    <mergeCell ref="B61:H63"/>
    <mergeCell ref="B64:H69"/>
    <mergeCell ref="B94:H97"/>
    <mergeCell ref="E12:G12"/>
    <mergeCell ref="E6:F6"/>
    <mergeCell ref="B31:H36"/>
    <mergeCell ref="B37:H40"/>
  </mergeCells>
  <pageMargins left="0.70866141732283472" right="0.70866141732283472" top="0.78740157480314965" bottom="0.78740157480314965" header="0.31496062992125984" footer="0.31496062992125984"/>
  <pageSetup paperSize="9" fitToHeight="9999" orientation="landscape" r:id="rId1"/>
  <headerFooter>
    <oddFooter>&amp;L&amp;"Arial,Kurzíva"Rada Olomouckého kraje 25-9-2012
4. - Rozpočet Olomouckého kraje 2013 - návrh rozpočtu
Příloha č. 3b): Příspěvkové organizace zřizované Olomouckým krajem&amp;R&amp;"Arial,Kurzíva"Strana &amp;P (celkem xxx)</oddFooter>
  </headerFooter>
  <rowBreaks count="2" manualBreakCount="2">
    <brk id="43" max="16383" man="1"/>
    <brk id="7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3"/>
  <sheetViews>
    <sheetView workbookViewId="0">
      <selection activeCell="I36" sqref="I36"/>
    </sheetView>
  </sheetViews>
  <sheetFormatPr defaultRowHeight="12.75" x14ac:dyDescent="0.2"/>
  <cols>
    <col min="1" max="1" width="6.140625" customWidth="1"/>
    <col min="2" max="2" width="19.28515625" customWidth="1"/>
  </cols>
  <sheetData>
    <row r="3" spans="1:3" ht="18" x14ac:dyDescent="0.25">
      <c r="A3" s="611" t="s">
        <v>518</v>
      </c>
      <c r="B3" s="611"/>
    </row>
    <row r="9" spans="1:3" x14ac:dyDescent="0.2">
      <c r="A9" t="s">
        <v>507</v>
      </c>
    </row>
    <row r="10" spans="1:3" x14ac:dyDescent="0.2">
      <c r="B10" s="108">
        <v>2268287000</v>
      </c>
    </row>
    <row r="11" spans="1:3" x14ac:dyDescent="0.2">
      <c r="B11" s="108">
        <v>-174000</v>
      </c>
      <c r="C11" t="s">
        <v>508</v>
      </c>
    </row>
    <row r="12" spans="1:3" x14ac:dyDescent="0.2">
      <c r="B12" s="108">
        <v>-184000</v>
      </c>
      <c r="C12" t="s">
        <v>509</v>
      </c>
    </row>
    <row r="13" spans="1:3" x14ac:dyDescent="0.2">
      <c r="B13" s="108">
        <v>25000</v>
      </c>
      <c r="C13" t="s">
        <v>510</v>
      </c>
    </row>
    <row r="14" spans="1:3" x14ac:dyDescent="0.2">
      <c r="B14" s="108">
        <v>100000</v>
      </c>
      <c r="C14" t="s">
        <v>511</v>
      </c>
    </row>
    <row r="15" spans="1:3" x14ac:dyDescent="0.2">
      <c r="B15" s="108">
        <v>200000</v>
      </c>
      <c r="C15" t="s">
        <v>512</v>
      </c>
    </row>
    <row r="16" spans="1:3" x14ac:dyDescent="0.2">
      <c r="B16" s="108">
        <v>-208000</v>
      </c>
      <c r="C16" t="s">
        <v>513</v>
      </c>
    </row>
    <row r="17" spans="2:3" x14ac:dyDescent="0.2">
      <c r="B17" s="108">
        <v>-5000000</v>
      </c>
      <c r="C17" t="s">
        <v>514</v>
      </c>
    </row>
    <row r="18" spans="2:3" x14ac:dyDescent="0.2">
      <c r="B18" s="108">
        <v>578000</v>
      </c>
      <c r="C18" t="s">
        <v>515</v>
      </c>
    </row>
    <row r="19" spans="2:3" x14ac:dyDescent="0.2">
      <c r="B19" s="108">
        <v>44400000</v>
      </c>
      <c r="C19" t="s">
        <v>516</v>
      </c>
    </row>
    <row r="20" spans="2:3" x14ac:dyDescent="0.2">
      <c r="B20" s="108">
        <v>-7331000</v>
      </c>
      <c r="C20" s="115" t="s">
        <v>521</v>
      </c>
    </row>
    <row r="21" spans="2:3" x14ac:dyDescent="0.2">
      <c r="B21" s="108">
        <v>-15000000</v>
      </c>
      <c r="C21" t="s">
        <v>517</v>
      </c>
    </row>
    <row r="22" spans="2:3" x14ac:dyDescent="0.2">
      <c r="B22" s="108">
        <v>-2006000</v>
      </c>
      <c r="C22" s="115" t="s">
        <v>519</v>
      </c>
    </row>
    <row r="23" spans="2:3" x14ac:dyDescent="0.2">
      <c r="B23" s="108">
        <v>200000</v>
      </c>
      <c r="C23" s="115" t="s">
        <v>525</v>
      </c>
    </row>
    <row r="24" spans="2:3" x14ac:dyDescent="0.2">
      <c r="B24" s="108">
        <v>12250000</v>
      </c>
      <c r="C24" s="115" t="s">
        <v>526</v>
      </c>
    </row>
    <row r="25" spans="2:3" x14ac:dyDescent="0.2">
      <c r="B25" s="108">
        <v>-5356000</v>
      </c>
      <c r="C25" s="115" t="s">
        <v>527</v>
      </c>
    </row>
    <row r="26" spans="2:3" x14ac:dyDescent="0.2">
      <c r="B26" s="108">
        <v>-100000</v>
      </c>
      <c r="C26" s="115" t="s">
        <v>528</v>
      </c>
    </row>
    <row r="27" spans="2:3" x14ac:dyDescent="0.2">
      <c r="B27" s="108">
        <f>SUM(B10:B26)</f>
        <v>2290681000</v>
      </c>
    </row>
    <row r="29" spans="2:3" x14ac:dyDescent="0.2">
      <c r="B29" s="108">
        <f>'Sumář celkem'!E72*1000</f>
        <v>2290698000</v>
      </c>
    </row>
    <row r="30" spans="2:3" x14ac:dyDescent="0.2">
      <c r="B30" s="108">
        <f>B29-B27</f>
        <v>17000</v>
      </c>
      <c r="C30" s="115" t="s">
        <v>520</v>
      </c>
    </row>
    <row r="33" spans="1:1" x14ac:dyDescent="0.2">
      <c r="A33" s="115" t="s">
        <v>522</v>
      </c>
    </row>
  </sheetData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AA34"/>
  <sheetViews>
    <sheetView showGridLines="0" tabSelected="1" topLeftCell="A2" zoomScaleNormal="100" workbookViewId="0">
      <selection activeCell="J29" sqref="J29"/>
    </sheetView>
  </sheetViews>
  <sheetFormatPr defaultRowHeight="12.75" x14ac:dyDescent="0.2"/>
  <cols>
    <col min="1" max="1" width="0.140625" style="24" customWidth="1"/>
    <col min="2" max="2" width="49" style="24" customWidth="1"/>
    <col min="3" max="7" width="17.42578125" style="24" customWidth="1"/>
    <col min="8" max="16384" width="9.140625" style="24"/>
  </cols>
  <sheetData>
    <row r="1" spans="2:7" hidden="1" x14ac:dyDescent="0.2">
      <c r="D1" s="384"/>
      <c r="E1" s="384"/>
    </row>
    <row r="2" spans="2:7" ht="23.25" x14ac:dyDescent="0.35">
      <c r="B2" s="98" t="s">
        <v>153</v>
      </c>
      <c r="C2" s="34"/>
      <c r="D2" s="384"/>
      <c r="E2" s="384"/>
      <c r="F2" s="33"/>
      <c r="G2" s="32" t="s">
        <v>246</v>
      </c>
    </row>
    <row r="3" spans="2:7" ht="15" x14ac:dyDescent="0.2">
      <c r="B3" s="97" t="s">
        <v>247</v>
      </c>
      <c r="D3" s="384"/>
      <c r="E3" s="384"/>
      <c r="F3" s="717"/>
      <c r="G3" s="717"/>
    </row>
    <row r="4" spans="2:7" ht="15" x14ac:dyDescent="0.2">
      <c r="B4" s="97" t="s">
        <v>161</v>
      </c>
      <c r="D4" s="384"/>
      <c r="E4" s="384"/>
      <c r="F4" s="718" t="s">
        <v>4</v>
      </c>
      <c r="G4" s="719"/>
    </row>
    <row r="5" spans="2:7" ht="13.5" thickBot="1" x14ac:dyDescent="0.25">
      <c r="D5" s="385"/>
      <c r="E5" s="385"/>
      <c r="F5" s="720"/>
      <c r="G5" s="720"/>
    </row>
    <row r="6" spans="2:7" ht="15.75" thickTop="1" x14ac:dyDescent="0.25">
      <c r="B6" s="320"/>
      <c r="C6" s="721">
        <v>2014</v>
      </c>
      <c r="D6" s="710"/>
      <c r="E6" s="646"/>
      <c r="F6" s="721" t="s">
        <v>231</v>
      </c>
      <c r="G6" s="710"/>
    </row>
    <row r="7" spans="2:7" ht="12.75" customHeight="1" x14ac:dyDescent="0.2">
      <c r="B7" s="722" t="s">
        <v>51</v>
      </c>
      <c r="C7" s="701" t="s">
        <v>217</v>
      </c>
      <c r="D7" s="703" t="s">
        <v>248</v>
      </c>
      <c r="E7" s="724" t="s">
        <v>536</v>
      </c>
      <c r="F7" s="421"/>
      <c r="G7" s="332"/>
    </row>
    <row r="8" spans="2:7" ht="27" customHeight="1" thickBot="1" x14ac:dyDescent="0.25">
      <c r="B8" s="723"/>
      <c r="C8" s="702"/>
      <c r="D8" s="704"/>
      <c r="E8" s="704"/>
      <c r="F8" s="422" t="s">
        <v>551</v>
      </c>
      <c r="G8" s="576" t="s">
        <v>552</v>
      </c>
    </row>
    <row r="9" spans="2:7" ht="14.25" thickTop="1" thickBot="1" x14ac:dyDescent="0.25">
      <c r="B9" s="321"/>
      <c r="C9" s="359" t="s">
        <v>230</v>
      </c>
      <c r="D9" s="224" t="s">
        <v>50</v>
      </c>
      <c r="E9" s="224" t="s">
        <v>49</v>
      </c>
      <c r="F9" s="359" t="s">
        <v>541</v>
      </c>
      <c r="G9" s="570" t="s">
        <v>542</v>
      </c>
    </row>
    <row r="10" spans="2:7" s="99" customFormat="1" ht="15.75" x14ac:dyDescent="0.25">
      <c r="B10" s="322" t="s">
        <v>48</v>
      </c>
      <c r="C10" s="423">
        <f>SUM(C12:C14)</f>
        <v>388827</v>
      </c>
      <c r="D10" s="313">
        <f>SUM(D12:D14)</f>
        <v>386497.96000000008</v>
      </c>
      <c r="E10" s="313">
        <f>SUM(E12:E14)</f>
        <v>356390</v>
      </c>
      <c r="F10" s="423">
        <f>E10-C10</f>
        <v>-32437</v>
      </c>
      <c r="G10" s="577">
        <f>E10/C10-1</f>
        <v>-8.3422704699004924E-2</v>
      </c>
    </row>
    <row r="11" spans="2:7" x14ac:dyDescent="0.2">
      <c r="B11" s="323" t="s">
        <v>47</v>
      </c>
      <c r="C11" s="572"/>
      <c r="D11" s="308"/>
      <c r="E11" s="308"/>
      <c r="F11" s="424"/>
      <c r="G11" s="578"/>
    </row>
    <row r="12" spans="2:7" ht="14.25" x14ac:dyDescent="0.2">
      <c r="B12" s="324" t="s">
        <v>46</v>
      </c>
      <c r="C12" s="573">
        <f>'ORJ - 10 - Olomouc'!G148+'ORJ - 10 - Přerov'!D103+'ORJ - 10 - Jeseník'!E54+'ORJ - 10 - Šumperk'!G100+'ORJ - 10 - Prostějov'!G61-'ORJ - 10 - Olomouc'!G16</f>
        <v>299376</v>
      </c>
      <c r="D12" s="317">
        <f>'ORJ - 10 - Olomouc'!L148-'ORJ - 10 - Olomouc'!L16+'ORJ - 10 - Přerov'!I103+'ORJ - 10 - Jeseník'!J54+'ORJ - 10 - Šumperk'!L100+'ORJ - 10 - Prostějov'!L61</f>
        <v>296280.41000000003</v>
      </c>
      <c r="E12" s="587">
        <f>'ORJ - 10 - Olomouc'!Q148-'ORJ - 10 - Olomouc'!Q16+'ORJ - 10 - Přerov'!N103+'ORJ - 10 - Jeseník'!O54+'ORJ - 10 - Šumperk'!Q100+'ORJ - 10 - Prostějov'!Q61</f>
        <v>283174</v>
      </c>
      <c r="F12" s="425">
        <f>E12-C12</f>
        <v>-16202</v>
      </c>
      <c r="G12" s="579">
        <f>E12/C12-1</f>
        <v>-5.4119234674790184E-2</v>
      </c>
    </row>
    <row r="13" spans="2:7" ht="14.25" x14ac:dyDescent="0.2">
      <c r="B13" s="324" t="s">
        <v>45</v>
      </c>
      <c r="C13" s="573">
        <f>'ORJ - 10 - Olomouc'!H148+'ORJ - 10 - Přerov'!E103+'ORJ - 10 - Jeseník'!F54+'ORJ - 10 - Šumperk'!H100+'ORJ - 10 - Prostějov'!H61-'ORJ - 10 - Olomouc'!H16</f>
        <v>738</v>
      </c>
      <c r="D13" s="317">
        <f>'ORJ - 10 - Olomouc'!M148-'ORJ - 10 - Olomouc'!M16+'ORJ - 10 - Přerov'!J103+'ORJ - 10 - Jeseník'!K54+'ORJ - 10 - Šumperk'!M100+'ORJ - 10 - Prostějov'!M61</f>
        <v>1504.38</v>
      </c>
      <c r="E13" s="587">
        <f>'ORJ - 10 - Olomouc'!R148-'ORJ - 10 - Olomouc'!R16+'ORJ - 10 - Přerov'!O103+'ORJ - 10 - Jeseník'!P54+'ORJ - 10 - Šumperk'!R100+'ORJ - 10 - Prostějov'!R61</f>
        <v>1057</v>
      </c>
      <c r="F13" s="424"/>
      <c r="G13" s="578"/>
    </row>
    <row r="14" spans="2:7" ht="14.25" x14ac:dyDescent="0.2">
      <c r="B14" s="324" t="s">
        <v>44</v>
      </c>
      <c r="C14" s="573">
        <f>'ORJ - 10 - Olomouc'!J148+'ORJ - 10 - Přerov'!G103+'ORJ - 10 - Jeseník'!H54+'ORJ - 10 - Šumperk'!J100+'ORJ - 10 - Prostějov'!J61-'ORJ - 10 - Olomouc'!J16</f>
        <v>88713</v>
      </c>
      <c r="D14" s="317">
        <f>'ORJ - 10 - Olomouc'!O148-'ORJ - 10 - Olomouc'!O16+'ORJ - 10 - Přerov'!L103+'ORJ - 10 - Jeseník'!M54+'ORJ - 10 - Šumperk'!O100+'ORJ - 10 - Prostějov'!O61</f>
        <v>88713.170000000013</v>
      </c>
      <c r="E14" s="587">
        <f>'ORJ - 10 - Olomouc'!T148-'ORJ - 10 - Olomouc'!T16+'ORJ - 10 - Přerov'!Q103+'ORJ - 10 - Jeseník'!R54+'ORJ - 10 - Šumperk'!T100+'ORJ - 10 - Prostějov'!T61</f>
        <v>72159</v>
      </c>
      <c r="F14" s="425">
        <f>E14-C14</f>
        <v>-16554</v>
      </c>
      <c r="G14" s="579">
        <f>E14/C14-1</f>
        <v>-0.18660173818944237</v>
      </c>
    </row>
    <row r="15" spans="2:7" s="77" customFormat="1" ht="15.75" x14ac:dyDescent="0.25">
      <c r="B15" s="325" t="s">
        <v>43</v>
      </c>
      <c r="C15" s="358">
        <f>'ORJ - 10 - Olomouc'!G16</f>
        <v>466</v>
      </c>
      <c r="D15" s="315">
        <f>'ORJ - 10 - Olomouc'!L16</f>
        <v>245</v>
      </c>
      <c r="E15" s="315">
        <f>'ORJ - 10 - Olomouc'!Q16</f>
        <v>433</v>
      </c>
      <c r="F15" s="358">
        <f>E15-C15</f>
        <v>-33</v>
      </c>
      <c r="G15" s="580">
        <f>E15/C15-1</f>
        <v>-7.0815450643776812E-2</v>
      </c>
    </row>
    <row r="16" spans="2:7" s="77" customFormat="1" ht="15.75" x14ac:dyDescent="0.25">
      <c r="B16" s="325" t="s">
        <v>40</v>
      </c>
      <c r="C16" s="358">
        <f>C15+C10</f>
        <v>389293</v>
      </c>
      <c r="D16" s="315">
        <f>D15+D10</f>
        <v>386742.96000000008</v>
      </c>
      <c r="E16" s="315">
        <f>E15+E10</f>
        <v>356823</v>
      </c>
      <c r="F16" s="358">
        <f>E16-C16</f>
        <v>-32470</v>
      </c>
      <c r="G16" s="580">
        <f>E16/C16-1</f>
        <v>-8.3407613288705384E-2</v>
      </c>
    </row>
    <row r="17" spans="1:27" s="73" customFormat="1" ht="15" hidden="1" x14ac:dyDescent="0.25">
      <c r="B17" s="414"/>
      <c r="C17" s="574"/>
      <c r="D17" s="585"/>
      <c r="E17" s="585"/>
      <c r="F17" s="426"/>
      <c r="G17" s="581"/>
    </row>
    <row r="18" spans="1:27" s="73" customFormat="1" ht="15.75" hidden="1" thickBot="1" x14ac:dyDescent="0.3">
      <c r="B18" s="414"/>
      <c r="C18" s="575"/>
      <c r="D18" s="585"/>
      <c r="E18" s="585"/>
      <c r="F18" s="426"/>
      <c r="G18" s="581"/>
    </row>
    <row r="19" spans="1:27" ht="15" hidden="1" x14ac:dyDescent="0.2">
      <c r="B19" s="415" t="s">
        <v>208</v>
      </c>
      <c r="C19" s="427"/>
      <c r="D19" s="416"/>
      <c r="E19" s="416"/>
      <c r="F19" s="427"/>
      <c r="G19" s="571"/>
    </row>
    <row r="20" spans="1:27" ht="6" customHeight="1" x14ac:dyDescent="0.2">
      <c r="B20" s="100"/>
      <c r="C20" s="427"/>
      <c r="D20" s="308"/>
      <c r="E20" s="308"/>
      <c r="F20" s="427"/>
      <c r="G20" s="571"/>
    </row>
    <row r="21" spans="1:27" s="388" customFormat="1" ht="15.75" x14ac:dyDescent="0.25">
      <c r="A21" s="386"/>
      <c r="B21" s="417" t="s">
        <v>249</v>
      </c>
      <c r="C21" s="573">
        <f>'ORJ - 10 - Olomouc'!I148+'ORJ - 10 - Přerov'!F103+'ORJ - 10 - Jeseník'!G54+'ORJ - 10 - Šumperk'!I100+'ORJ - 10 - Prostějov'!I61-'ORJ - 10 - Olomouc'!I16</f>
        <v>101</v>
      </c>
      <c r="D21" s="419">
        <f>'ORJ - 10 - Olomouc'!N148-'ORJ - 10 - Olomouc'!N16+'ORJ - 10 - Přerov'!K103+'ORJ - 10 - Jeseník'!L54+'ORJ - 10 - Šumperk'!N100+'ORJ - 10 - Prostějov'!N61</f>
        <v>101</v>
      </c>
      <c r="E21" s="587">
        <f>'ORJ - 10 - Olomouc'!S148-'ORJ - 10 - Olomouc'!S16+'ORJ - 10 - Přerov'!P103+'ORJ - 10 - Jeseník'!Q54+'ORJ - 10 - Šumperk'!S100+'ORJ - 10 - Prostějov'!S61</f>
        <v>108</v>
      </c>
      <c r="F21" s="425">
        <f>E21-C21</f>
        <v>7</v>
      </c>
      <c r="G21" s="579">
        <f>E21/C21-1</f>
        <v>6.9306930693069368E-2</v>
      </c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7"/>
      <c r="W21" s="387"/>
      <c r="X21" s="387"/>
      <c r="Y21" s="387"/>
      <c r="Z21" s="387"/>
      <c r="AA21" s="387"/>
    </row>
    <row r="22" spans="1:27" s="413" customFormat="1" ht="16.5" thickBot="1" x14ac:dyDescent="0.3">
      <c r="A22" s="386"/>
      <c r="B22" s="418" t="s">
        <v>39</v>
      </c>
      <c r="C22" s="420">
        <f>C16+C21</f>
        <v>389394</v>
      </c>
      <c r="D22" s="586">
        <f>D16+D21</f>
        <v>386843.96000000008</v>
      </c>
      <c r="E22" s="586">
        <f>E16+E21</f>
        <v>356931</v>
      </c>
      <c r="F22" s="644">
        <f>E22-C22</f>
        <v>-32463</v>
      </c>
      <c r="G22" s="645">
        <f>E22/C22-1</f>
        <v>-8.3368002588637746E-2</v>
      </c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</row>
    <row r="23" spans="1:27" s="388" customFormat="1" ht="16.5" thickTop="1" x14ac:dyDescent="0.25">
      <c r="A23" s="386"/>
      <c r="B23" s="399"/>
      <c r="C23" s="400"/>
      <c r="D23" s="400"/>
      <c r="E23" s="400"/>
      <c r="F23" s="400"/>
      <c r="G23" s="401"/>
      <c r="H23" s="387"/>
      <c r="I23" s="387"/>
      <c r="J23" s="387"/>
      <c r="K23" s="387"/>
      <c r="L23" s="387"/>
      <c r="M23" s="387"/>
      <c r="N23" s="387"/>
      <c r="O23" s="387"/>
      <c r="P23" s="387"/>
      <c r="Q23" s="387"/>
      <c r="R23" s="387"/>
      <c r="S23" s="387"/>
      <c r="T23" s="387"/>
      <c r="U23" s="387"/>
      <c r="V23" s="387"/>
      <c r="W23" s="387"/>
      <c r="X23" s="387"/>
      <c r="Y23" s="387"/>
      <c r="Z23" s="387"/>
      <c r="AA23" s="387"/>
    </row>
    <row r="24" spans="1:27" s="384" customFormat="1" ht="15.75" x14ac:dyDescent="0.2">
      <c r="B24" s="707"/>
      <c r="C24" s="708"/>
      <c r="D24" s="389"/>
      <c r="E24" s="390"/>
      <c r="F24" s="568"/>
      <c r="G24" s="568"/>
    </row>
    <row r="25" spans="1:27" s="388" customFormat="1" ht="15.75" x14ac:dyDescent="0.25">
      <c r="A25" s="386"/>
      <c r="B25" s="391"/>
      <c r="C25" s="391"/>
      <c r="D25" s="391"/>
      <c r="E25" s="391"/>
      <c r="F25" s="391"/>
      <c r="G25" s="569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7"/>
      <c r="W25" s="387"/>
      <c r="X25" s="387"/>
      <c r="Y25" s="387"/>
      <c r="Z25" s="387"/>
      <c r="AA25" s="387"/>
    </row>
    <row r="26" spans="1:27" s="388" customFormat="1" ht="15.75" x14ac:dyDescent="0.25">
      <c r="A26" s="386"/>
      <c r="B26" s="392"/>
      <c r="C26" s="393"/>
      <c r="D26" s="394"/>
      <c r="E26" s="394"/>
      <c r="F26" s="395"/>
      <c r="G26" s="395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7"/>
      <c r="W26" s="387"/>
      <c r="X26" s="387"/>
      <c r="Y26" s="387"/>
      <c r="Z26" s="387"/>
      <c r="AA26" s="387"/>
    </row>
    <row r="27" spans="1:27" s="388" customFormat="1" ht="15.75" x14ac:dyDescent="0.25">
      <c r="A27" s="386"/>
      <c r="B27" s="396"/>
      <c r="C27" s="397"/>
      <c r="D27" s="397"/>
      <c r="E27" s="397"/>
      <c r="F27" s="397"/>
      <c r="G27" s="397"/>
      <c r="H27" s="387"/>
      <c r="I27" s="387"/>
      <c r="J27" s="387"/>
      <c r="K27" s="387"/>
      <c r="L27" s="387"/>
      <c r="M27" s="387"/>
      <c r="N27" s="387"/>
      <c r="O27" s="387"/>
      <c r="P27" s="387"/>
      <c r="Q27" s="387"/>
      <c r="R27" s="387"/>
      <c r="S27" s="387"/>
      <c r="T27" s="387"/>
      <c r="U27" s="387"/>
      <c r="V27" s="387"/>
      <c r="W27" s="387"/>
      <c r="X27" s="387"/>
      <c r="Y27" s="387"/>
      <c r="Z27" s="387"/>
      <c r="AA27" s="387"/>
    </row>
    <row r="28" spans="1:27" s="388" customFormat="1" ht="15.75" x14ac:dyDescent="0.25">
      <c r="A28" s="386"/>
      <c r="B28" s="397"/>
      <c r="F28" s="397"/>
      <c r="G28" s="397"/>
      <c r="H28" s="387"/>
      <c r="I28" s="387"/>
      <c r="J28" s="387"/>
      <c r="K28" s="387"/>
      <c r="L28" s="387"/>
      <c r="M28" s="387"/>
      <c r="N28" s="387"/>
      <c r="O28" s="387"/>
      <c r="P28" s="387"/>
      <c r="Q28" s="387"/>
      <c r="R28" s="387"/>
      <c r="S28" s="387"/>
      <c r="T28" s="387"/>
      <c r="U28" s="387"/>
      <c r="V28" s="387"/>
      <c r="W28" s="387"/>
      <c r="X28" s="387"/>
      <c r="Y28" s="387"/>
      <c r="Z28" s="387"/>
      <c r="AA28" s="387"/>
    </row>
    <row r="29" spans="1:27" s="388" customFormat="1" ht="15.75" x14ac:dyDescent="0.25">
      <c r="A29" s="386"/>
      <c r="B29" s="393"/>
      <c r="C29" s="393"/>
      <c r="G29" s="395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387"/>
      <c r="Z29" s="387"/>
      <c r="AA29" s="387"/>
    </row>
    <row r="30" spans="1:27" s="384" customFormat="1" x14ac:dyDescent="0.2">
      <c r="A30" s="398"/>
      <c r="B30" s="398"/>
      <c r="C30" s="398"/>
      <c r="D30" s="398"/>
      <c r="E30" s="398"/>
      <c r="F30" s="398"/>
      <c r="G30" s="398"/>
      <c r="H30" s="398"/>
      <c r="I30" s="398"/>
      <c r="J30" s="398"/>
      <c r="K30" s="398"/>
      <c r="L30" s="398"/>
      <c r="M30" s="398"/>
      <c r="N30" s="398"/>
      <c r="O30" s="398"/>
      <c r="P30" s="398"/>
      <c r="Q30" s="398"/>
      <c r="R30" s="398"/>
      <c r="S30" s="398"/>
      <c r="T30" s="398"/>
      <c r="U30" s="398"/>
      <c r="V30" s="398"/>
      <c r="W30" s="398"/>
      <c r="X30" s="398"/>
      <c r="Y30" s="398"/>
      <c r="Z30" s="398"/>
      <c r="AA30" s="398"/>
    </row>
    <row r="31" spans="1:27" s="384" customFormat="1" x14ac:dyDescent="0.2">
      <c r="A31" s="398"/>
      <c r="B31" s="24"/>
      <c r="C31" s="24"/>
      <c r="D31" s="24"/>
      <c r="E31" s="24"/>
      <c r="F31" s="24"/>
      <c r="G31" s="24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8"/>
      <c r="AA31" s="398"/>
    </row>
    <row r="32" spans="1:27" s="384" customFormat="1" x14ac:dyDescent="0.2">
      <c r="A32" s="398"/>
      <c r="B32" s="24"/>
      <c r="C32" s="24"/>
      <c r="D32" s="24"/>
      <c r="E32" s="24"/>
      <c r="F32" s="24"/>
      <c r="G32" s="24"/>
      <c r="H32" s="398"/>
      <c r="I32" s="398"/>
      <c r="J32" s="398"/>
      <c r="K32" s="398"/>
      <c r="L32" s="398"/>
      <c r="M32" s="398"/>
      <c r="N32" s="398"/>
      <c r="O32" s="398"/>
      <c r="P32" s="398"/>
      <c r="Q32" s="398"/>
      <c r="R32" s="398"/>
      <c r="S32" s="398"/>
      <c r="T32" s="398"/>
      <c r="U32" s="398"/>
      <c r="V32" s="398"/>
      <c r="W32" s="398"/>
      <c r="X32" s="398"/>
      <c r="Y32" s="398"/>
      <c r="Z32" s="398"/>
      <c r="AA32" s="398"/>
    </row>
    <row r="33" spans="1:27" s="384" customFormat="1" x14ac:dyDescent="0.2">
      <c r="A33" s="398"/>
      <c r="B33" s="24"/>
      <c r="C33" s="24"/>
      <c r="D33" s="24"/>
      <c r="E33" s="24"/>
      <c r="F33" s="24"/>
      <c r="G33" s="24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</row>
    <row r="34" spans="1:27" s="384" customFormat="1" x14ac:dyDescent="0.2">
      <c r="A34" s="398"/>
      <c r="B34" s="24"/>
      <c r="C34" s="24"/>
      <c r="D34" s="24"/>
      <c r="E34" s="24"/>
      <c r="F34" s="24"/>
      <c r="G34" s="24"/>
      <c r="H34" s="398"/>
      <c r="I34" s="398"/>
      <c r="J34" s="398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398"/>
      <c r="V34" s="398"/>
      <c r="W34" s="398"/>
      <c r="X34" s="398"/>
      <c r="Y34" s="398"/>
      <c r="Z34" s="398"/>
      <c r="AA34" s="398"/>
    </row>
  </sheetData>
  <mergeCells count="9">
    <mergeCell ref="B24:C24"/>
    <mergeCell ref="F3:G3"/>
    <mergeCell ref="F4:G5"/>
    <mergeCell ref="C6:D6"/>
    <mergeCell ref="F6:G6"/>
    <mergeCell ref="B7:B8"/>
    <mergeCell ref="C7:C8"/>
    <mergeCell ref="D7:D8"/>
    <mergeCell ref="E7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5" firstPageNumber="60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A149"/>
  <sheetViews>
    <sheetView showGridLines="0" tabSelected="1" topLeftCell="F35" zoomScaleNormal="100" workbookViewId="0">
      <selection activeCell="J29" sqref="J29"/>
    </sheetView>
  </sheetViews>
  <sheetFormatPr defaultRowHeight="12.75" x14ac:dyDescent="0.2"/>
  <cols>
    <col min="1" max="1" width="2.5703125" style="24" hidden="1" customWidth="1"/>
    <col min="2" max="2" width="14.5703125" style="24" hidden="1" customWidth="1"/>
    <col min="3" max="3" width="6.5703125" style="24" hidden="1" customWidth="1"/>
    <col min="4" max="4" width="5.7109375" style="24" hidden="1" customWidth="1"/>
    <col min="5" max="5" width="45.5703125" style="24" customWidth="1"/>
    <col min="6" max="6" width="12.5703125" style="629" customWidth="1"/>
    <col min="7" max="10" width="9.5703125" style="40" customWidth="1"/>
    <col min="11" max="11" width="12.5703125" style="40" customWidth="1"/>
    <col min="12" max="12" width="9.5703125" style="40" customWidth="1"/>
    <col min="13" max="13" width="9.5703125" style="210" customWidth="1"/>
    <col min="14" max="15" width="9.5703125" style="40" customWidth="1"/>
    <col min="16" max="16" width="12.5703125" style="40" customWidth="1"/>
    <col min="17" max="17" width="9.5703125" style="210" customWidth="1"/>
    <col min="18" max="20" width="9.5703125" style="40" customWidth="1"/>
    <col min="21" max="21" width="12.5703125" style="40" hidden="1" customWidth="1"/>
    <col min="22" max="25" width="9.5703125" style="40" hidden="1" customWidth="1"/>
    <col min="26" max="27" width="9" style="40" customWidth="1"/>
    <col min="28" max="16384" width="9.140625" style="24"/>
  </cols>
  <sheetData>
    <row r="1" spans="2:25" hidden="1" x14ac:dyDescent="0.2"/>
    <row r="2" spans="2:25" ht="21.75" x14ac:dyDescent="0.3">
      <c r="C2" s="68"/>
      <c r="D2" s="68"/>
      <c r="E2" s="69" t="s">
        <v>153</v>
      </c>
      <c r="F2" s="67"/>
      <c r="G2" s="67"/>
      <c r="H2" s="67"/>
      <c r="I2" s="67"/>
      <c r="J2" s="67"/>
      <c r="K2" s="65"/>
      <c r="L2" s="65"/>
      <c r="M2" s="200"/>
      <c r="N2" s="65"/>
      <c r="O2" s="65"/>
      <c r="P2" s="65"/>
      <c r="Q2" s="200"/>
      <c r="R2" s="65"/>
      <c r="S2" s="65"/>
      <c r="T2" s="65" t="s">
        <v>246</v>
      </c>
      <c r="U2" s="65"/>
      <c r="V2" s="65"/>
      <c r="W2" s="66" t="s">
        <v>375</v>
      </c>
      <c r="X2" s="65"/>
      <c r="Y2" s="65" t="s">
        <v>246</v>
      </c>
    </row>
    <row r="3" spans="2:25" x14ac:dyDescent="0.2">
      <c r="F3" s="40"/>
    </row>
    <row r="4" spans="2:25" hidden="1" x14ac:dyDescent="0.2">
      <c r="F4" s="40"/>
    </row>
    <row r="5" spans="2:25" ht="15.75" x14ac:dyDescent="0.25">
      <c r="E5" s="64" t="s">
        <v>539</v>
      </c>
      <c r="F5" s="64"/>
      <c r="G5" s="63"/>
      <c r="H5" s="62"/>
      <c r="I5" s="61"/>
      <c r="J5" s="61"/>
      <c r="K5" s="60"/>
      <c r="L5" s="60"/>
      <c r="M5" s="201"/>
      <c r="N5" s="60"/>
      <c r="O5" s="60"/>
      <c r="P5" s="60"/>
      <c r="Q5" s="201"/>
      <c r="R5" s="60"/>
      <c r="S5" s="60"/>
      <c r="T5" s="60"/>
      <c r="U5" s="60"/>
      <c r="V5" s="60"/>
      <c r="W5" s="60"/>
      <c r="X5" s="60"/>
      <c r="Y5" s="60"/>
    </row>
    <row r="6" spans="2:25" ht="15.75" x14ac:dyDescent="0.25">
      <c r="E6" s="63" t="s">
        <v>161</v>
      </c>
      <c r="F6" s="64"/>
      <c r="G6" s="63"/>
      <c r="H6" s="62"/>
      <c r="I6" s="61"/>
      <c r="J6" s="61"/>
      <c r="K6" s="60"/>
      <c r="L6" s="60"/>
      <c r="M6" s="201"/>
      <c r="N6" s="60"/>
      <c r="O6" s="60"/>
      <c r="P6" s="60"/>
      <c r="Q6" s="201"/>
      <c r="R6" s="60"/>
      <c r="S6" s="60"/>
      <c r="T6" s="60"/>
      <c r="U6" s="60"/>
      <c r="V6" s="60"/>
      <c r="W6" s="60"/>
      <c r="X6" s="60"/>
      <c r="Y6" s="60"/>
    </row>
    <row r="7" spans="2:25" x14ac:dyDescent="0.2">
      <c r="F7" s="24"/>
      <c r="G7" s="24"/>
      <c r="H7" s="24"/>
    </row>
    <row r="8" spans="2:25" ht="18" x14ac:dyDescent="0.25">
      <c r="C8" s="59"/>
      <c r="D8" s="59"/>
      <c r="E8" s="551" t="s">
        <v>373</v>
      </c>
      <c r="F8" s="59"/>
      <c r="G8" s="59"/>
      <c r="H8" s="59"/>
      <c r="I8" s="58"/>
      <c r="J8" s="58"/>
      <c r="K8" s="58"/>
      <c r="L8" s="58"/>
      <c r="M8" s="202"/>
      <c r="N8" s="58"/>
      <c r="O8" s="58"/>
      <c r="P8" s="58"/>
      <c r="Q8" s="202"/>
      <c r="R8" s="58"/>
      <c r="S8" s="58"/>
      <c r="T8" s="58"/>
      <c r="U8" s="58"/>
      <c r="V8" s="58"/>
      <c r="W8" s="58"/>
      <c r="X8" s="58"/>
      <c r="Y8" s="58"/>
    </row>
    <row r="9" spans="2:25" hidden="1" x14ac:dyDescent="0.2"/>
    <row r="10" spans="2:25" ht="13.5" thickBot="1" x14ac:dyDescent="0.25">
      <c r="B10" s="57"/>
      <c r="C10" s="57"/>
      <c r="D10" s="57"/>
      <c r="E10" s="57"/>
      <c r="F10" s="626"/>
      <c r="G10" s="56"/>
      <c r="H10" s="56"/>
      <c r="I10" s="56"/>
      <c r="J10" s="56"/>
      <c r="K10" s="56"/>
      <c r="L10" s="56"/>
      <c r="M10" s="203"/>
      <c r="N10" s="56"/>
      <c r="O10" s="56"/>
      <c r="P10" s="56"/>
      <c r="Q10" s="203"/>
      <c r="R10" s="56"/>
      <c r="S10" s="56"/>
      <c r="T10" s="56" t="s">
        <v>4</v>
      </c>
      <c r="U10" s="56"/>
      <c r="V10" s="56"/>
      <c r="W10" s="56"/>
      <c r="X10" s="56"/>
      <c r="Y10" s="56" t="s">
        <v>4</v>
      </c>
    </row>
    <row r="11" spans="2:25" x14ac:dyDescent="0.2">
      <c r="B11" s="248"/>
      <c r="C11" s="250"/>
      <c r="D11" s="248"/>
      <c r="E11" s="248"/>
      <c r="F11" s="727" t="s">
        <v>217</v>
      </c>
      <c r="G11" s="728"/>
      <c r="H11" s="728"/>
      <c r="I11" s="728"/>
      <c r="J11" s="729"/>
      <c r="K11" s="727" t="s">
        <v>372</v>
      </c>
      <c r="L11" s="728"/>
      <c r="M11" s="728"/>
      <c r="N11" s="728"/>
      <c r="O11" s="729"/>
      <c r="P11" s="727" t="s">
        <v>538</v>
      </c>
      <c r="Q11" s="728"/>
      <c r="R11" s="728"/>
      <c r="S11" s="728"/>
      <c r="T11" s="729"/>
      <c r="U11" s="728" t="s">
        <v>5</v>
      </c>
      <c r="V11" s="728"/>
      <c r="W11" s="728"/>
      <c r="X11" s="728"/>
      <c r="Y11" s="729"/>
    </row>
    <row r="12" spans="2:25" ht="18" customHeight="1" x14ac:dyDescent="0.2">
      <c r="B12" s="730" t="s">
        <v>6</v>
      </c>
      <c r="C12" s="731"/>
      <c r="D12" s="635" t="s">
        <v>7</v>
      </c>
      <c r="E12" s="252" t="s">
        <v>8</v>
      </c>
      <c r="F12" s="567"/>
      <c r="G12" s="254" t="s">
        <v>9</v>
      </c>
      <c r="H12" s="256"/>
      <c r="I12" s="256"/>
      <c r="J12" s="256"/>
      <c r="K12" s="255"/>
      <c r="L12" s="254" t="s">
        <v>9</v>
      </c>
      <c r="M12" s="256"/>
      <c r="N12" s="256"/>
      <c r="O12" s="256"/>
      <c r="P12" s="255"/>
      <c r="Q12" s="254" t="s">
        <v>9</v>
      </c>
      <c r="R12" s="735"/>
      <c r="S12" s="735"/>
      <c r="T12" s="736"/>
      <c r="U12" s="256"/>
      <c r="V12" s="254" t="s">
        <v>9</v>
      </c>
      <c r="W12" s="256"/>
      <c r="X12" s="256"/>
      <c r="Y12" s="257"/>
    </row>
    <row r="13" spans="2:25" ht="48" customHeight="1" x14ac:dyDescent="0.2">
      <c r="B13" s="258"/>
      <c r="C13" s="447"/>
      <c r="D13" s="258"/>
      <c r="E13" s="258"/>
      <c r="F13" s="260" t="s">
        <v>10</v>
      </c>
      <c r="G13" s="261" t="s">
        <v>11</v>
      </c>
      <c r="H13" s="261" t="s">
        <v>12</v>
      </c>
      <c r="I13" s="261" t="s">
        <v>13</v>
      </c>
      <c r="J13" s="261" t="s">
        <v>14</v>
      </c>
      <c r="K13" s="260" t="s">
        <v>10</v>
      </c>
      <c r="L13" s="261" t="s">
        <v>11</v>
      </c>
      <c r="M13" s="261" t="s">
        <v>12</v>
      </c>
      <c r="N13" s="261" t="s">
        <v>13</v>
      </c>
      <c r="O13" s="261" t="s">
        <v>14</v>
      </c>
      <c r="P13" s="260" t="s">
        <v>10</v>
      </c>
      <c r="Q13" s="261" t="s">
        <v>11</v>
      </c>
      <c r="R13" s="261" t="s">
        <v>12</v>
      </c>
      <c r="S13" s="261" t="s">
        <v>13</v>
      </c>
      <c r="T13" s="262" t="s">
        <v>14</v>
      </c>
      <c r="U13" s="567" t="s">
        <v>10</v>
      </c>
      <c r="V13" s="261" t="s">
        <v>11</v>
      </c>
      <c r="W13" s="261" t="s">
        <v>12</v>
      </c>
      <c r="X13" s="261" t="s">
        <v>13</v>
      </c>
      <c r="Y13" s="262" t="s">
        <v>14</v>
      </c>
    </row>
    <row r="14" spans="2:25" ht="13.5" thickBot="1" x14ac:dyDescent="0.25">
      <c r="B14" s="263" t="s">
        <v>15</v>
      </c>
      <c r="C14" s="264" t="s">
        <v>16</v>
      </c>
      <c r="D14" s="221"/>
      <c r="E14" s="221"/>
      <c r="F14" s="627"/>
      <c r="G14" s="223" t="s">
        <v>17</v>
      </c>
      <c r="H14" s="223" t="s">
        <v>18</v>
      </c>
      <c r="I14" s="223" t="s">
        <v>19</v>
      </c>
      <c r="J14" s="223" t="s">
        <v>20</v>
      </c>
      <c r="K14" s="222"/>
      <c r="L14" s="223" t="s">
        <v>17</v>
      </c>
      <c r="M14" s="223" t="s">
        <v>18</v>
      </c>
      <c r="N14" s="223" t="s">
        <v>19</v>
      </c>
      <c r="O14" s="223" t="s">
        <v>20</v>
      </c>
      <c r="P14" s="222"/>
      <c r="Q14" s="223" t="s">
        <v>17</v>
      </c>
      <c r="R14" s="223" t="s">
        <v>18</v>
      </c>
      <c r="S14" s="223" t="s">
        <v>19</v>
      </c>
      <c r="T14" s="249" t="s">
        <v>20</v>
      </c>
      <c r="U14" s="296"/>
      <c r="V14" s="223" t="s">
        <v>17</v>
      </c>
      <c r="W14" s="223" t="s">
        <v>18</v>
      </c>
      <c r="X14" s="223" t="s">
        <v>19</v>
      </c>
      <c r="Y14" s="249" t="s">
        <v>20</v>
      </c>
    </row>
    <row r="15" spans="2:25" ht="13.5" thickBot="1" x14ac:dyDescent="0.25">
      <c r="B15" s="265"/>
      <c r="C15" s="266"/>
      <c r="D15" s="265"/>
      <c r="E15" s="265"/>
      <c r="F15" s="628" t="s">
        <v>21</v>
      </c>
      <c r="G15" s="732" t="s">
        <v>21</v>
      </c>
      <c r="H15" s="733"/>
      <c r="I15" s="733"/>
      <c r="J15" s="734"/>
      <c r="K15" s="267" t="s">
        <v>21</v>
      </c>
      <c r="L15" s="732" t="s">
        <v>21</v>
      </c>
      <c r="M15" s="733"/>
      <c r="N15" s="733"/>
      <c r="O15" s="734"/>
      <c r="P15" s="267" t="s">
        <v>21</v>
      </c>
      <c r="Q15" s="732" t="s">
        <v>21</v>
      </c>
      <c r="R15" s="733"/>
      <c r="S15" s="733"/>
      <c r="T15" s="734"/>
      <c r="U15" s="636" t="s">
        <v>21</v>
      </c>
      <c r="V15" s="732" t="s">
        <v>21</v>
      </c>
      <c r="W15" s="733"/>
      <c r="X15" s="733"/>
      <c r="Y15" s="734"/>
    </row>
    <row r="16" spans="2:25" ht="15" customHeight="1" thickBot="1" x14ac:dyDescent="0.25">
      <c r="B16" s="550" t="s">
        <v>371</v>
      </c>
      <c r="C16" s="549" t="s">
        <v>370</v>
      </c>
      <c r="D16" s="548"/>
      <c r="E16" s="547" t="s">
        <v>369</v>
      </c>
      <c r="F16" s="505">
        <f t="shared" ref="F16:F79" si="0">SUM(G16:J16)</f>
        <v>466</v>
      </c>
      <c r="G16" s="208">
        <v>466</v>
      </c>
      <c r="H16" s="630"/>
      <c r="I16" s="630"/>
      <c r="J16" s="631"/>
      <c r="K16" s="505">
        <f>SUM(L16:O16)</f>
        <v>245</v>
      </c>
      <c r="L16" s="208">
        <v>245</v>
      </c>
      <c r="M16" s="506">
        <v>0</v>
      </c>
      <c r="N16" s="208">
        <v>0</v>
      </c>
      <c r="O16" s="506">
        <v>0</v>
      </c>
      <c r="P16" s="505">
        <f>SUM(Q16:T16)</f>
        <v>433</v>
      </c>
      <c r="Q16" s="208">
        <v>433</v>
      </c>
      <c r="R16" s="630"/>
      <c r="S16" s="630"/>
      <c r="T16" s="632"/>
      <c r="U16" s="297">
        <f t="shared" ref="U16:U48" si="1">SUM(V16:Y16)</f>
        <v>-33</v>
      </c>
      <c r="V16" s="205">
        <f t="shared" ref="V16:V47" si="2">Q16-G16</f>
        <v>-33</v>
      </c>
      <c r="W16" s="205">
        <f t="shared" ref="W16:W47" si="3">R16-H16</f>
        <v>0</v>
      </c>
      <c r="X16" s="205">
        <f t="shared" ref="X16:X47" si="4">S16-I16</f>
        <v>0</v>
      </c>
      <c r="Y16" s="206">
        <f t="shared" ref="Y16:Y47" si="5">T16-J16</f>
        <v>0</v>
      </c>
    </row>
    <row r="17" spans="2:25" ht="15" hidden="1" customHeight="1" thickBot="1" x14ac:dyDescent="0.25">
      <c r="B17" s="495" t="s">
        <v>368</v>
      </c>
      <c r="C17" s="496" t="s">
        <v>362</v>
      </c>
      <c r="D17" s="540" t="s">
        <v>272</v>
      </c>
      <c r="E17" s="498" t="s">
        <v>367</v>
      </c>
      <c r="F17" s="499">
        <f t="shared" si="0"/>
        <v>505</v>
      </c>
      <c r="G17" s="205">
        <v>437</v>
      </c>
      <c r="H17" s="205">
        <v>0</v>
      </c>
      <c r="I17" s="205">
        <v>0</v>
      </c>
      <c r="J17" s="205">
        <v>68</v>
      </c>
      <c r="K17" s="499">
        <f>SUM(L17:O17)</f>
        <v>501</v>
      </c>
      <c r="L17" s="205">
        <v>433</v>
      </c>
      <c r="M17" s="205">
        <v>0</v>
      </c>
      <c r="N17" s="205">
        <v>0</v>
      </c>
      <c r="O17" s="205">
        <v>68</v>
      </c>
      <c r="P17" s="499">
        <f>SUM(Q17:T17)</f>
        <v>556</v>
      </c>
      <c r="Q17" s="205">
        <v>510</v>
      </c>
      <c r="R17" s="205">
        <v>0</v>
      </c>
      <c r="S17" s="205">
        <v>0</v>
      </c>
      <c r="T17" s="206">
        <v>46</v>
      </c>
      <c r="U17" s="297">
        <f t="shared" si="1"/>
        <v>51</v>
      </c>
      <c r="V17" s="205">
        <f t="shared" si="2"/>
        <v>73</v>
      </c>
      <c r="W17" s="205">
        <f t="shared" si="3"/>
        <v>0</v>
      </c>
      <c r="X17" s="205">
        <f t="shared" si="4"/>
        <v>0</v>
      </c>
      <c r="Y17" s="206">
        <f t="shared" si="5"/>
        <v>-22</v>
      </c>
    </row>
    <row r="18" spans="2:25" ht="15" customHeight="1" thickBot="1" x14ac:dyDescent="0.25">
      <c r="B18" s="539" t="s">
        <v>368</v>
      </c>
      <c r="C18" s="538"/>
      <c r="D18" s="537" t="s">
        <v>272</v>
      </c>
      <c r="E18" s="536" t="s">
        <v>367</v>
      </c>
      <c r="F18" s="505">
        <f t="shared" si="0"/>
        <v>505</v>
      </c>
      <c r="G18" s="535">
        <f>SUM(G17)</f>
        <v>437</v>
      </c>
      <c r="H18" s="535">
        <f>SUM(H17)</f>
        <v>0</v>
      </c>
      <c r="I18" s="535">
        <f>SUM(I17)</f>
        <v>0</v>
      </c>
      <c r="J18" s="535">
        <f>SUM(J17)</f>
        <v>68</v>
      </c>
      <c r="K18" s="505">
        <f t="shared" ref="K18:K81" si="6">SUM(L18:O18)</f>
        <v>501</v>
      </c>
      <c r="L18" s="535">
        <f t="shared" ref="L18:O18" si="7">SUM(L17)</f>
        <v>433</v>
      </c>
      <c r="M18" s="535">
        <f t="shared" si="7"/>
        <v>0</v>
      </c>
      <c r="N18" s="535">
        <f t="shared" si="7"/>
        <v>0</v>
      </c>
      <c r="O18" s="535">
        <f t="shared" si="7"/>
        <v>68</v>
      </c>
      <c r="P18" s="505">
        <f t="shared" ref="P18:P81" si="8">SUM(Q18:T18)</f>
        <v>556</v>
      </c>
      <c r="Q18" s="535">
        <f t="shared" ref="Q18:T18" si="9">SUM(Q17)</f>
        <v>510</v>
      </c>
      <c r="R18" s="535">
        <f t="shared" si="9"/>
        <v>0</v>
      </c>
      <c r="S18" s="535">
        <f t="shared" si="9"/>
        <v>0</v>
      </c>
      <c r="T18" s="534">
        <f t="shared" si="9"/>
        <v>46</v>
      </c>
      <c r="U18" s="506">
        <f t="shared" si="1"/>
        <v>51</v>
      </c>
      <c r="V18" s="535">
        <f t="shared" ref="V18:Y18" si="10">SUM(V17)</f>
        <v>73</v>
      </c>
      <c r="W18" s="535">
        <f t="shared" si="10"/>
        <v>0</v>
      </c>
      <c r="X18" s="535">
        <f t="shared" si="10"/>
        <v>0</v>
      </c>
      <c r="Y18" s="534">
        <f t="shared" si="10"/>
        <v>-22</v>
      </c>
    </row>
    <row r="19" spans="2:25" ht="15" hidden="1" customHeight="1" thickBot="1" x14ac:dyDescent="0.25">
      <c r="B19" s="495" t="s">
        <v>366</v>
      </c>
      <c r="C19" s="496" t="s">
        <v>362</v>
      </c>
      <c r="D19" s="540" t="s">
        <v>272</v>
      </c>
      <c r="E19" s="498" t="s">
        <v>365</v>
      </c>
      <c r="F19" s="499">
        <f t="shared" si="0"/>
        <v>290</v>
      </c>
      <c r="G19" s="205">
        <v>290</v>
      </c>
      <c r="H19" s="205">
        <v>0</v>
      </c>
      <c r="I19" s="205">
        <v>0</v>
      </c>
      <c r="J19" s="205">
        <v>0</v>
      </c>
      <c r="K19" s="499">
        <f t="shared" si="6"/>
        <v>287</v>
      </c>
      <c r="L19" s="205">
        <v>287</v>
      </c>
      <c r="M19" s="205"/>
      <c r="N19" s="205"/>
      <c r="O19" s="205"/>
      <c r="P19" s="499">
        <f t="shared" si="8"/>
        <v>0</v>
      </c>
      <c r="Q19" s="205">
        <v>0</v>
      </c>
      <c r="R19" s="205">
        <v>0</v>
      </c>
      <c r="S19" s="205">
        <v>0</v>
      </c>
      <c r="T19" s="206">
        <v>0</v>
      </c>
      <c r="U19" s="297">
        <f t="shared" si="1"/>
        <v>-290</v>
      </c>
      <c r="V19" s="205">
        <f t="shared" si="2"/>
        <v>-290</v>
      </c>
      <c r="W19" s="205">
        <f t="shared" si="3"/>
        <v>0</v>
      </c>
      <c r="X19" s="205">
        <f t="shared" si="4"/>
        <v>0</v>
      </c>
      <c r="Y19" s="206">
        <f t="shared" si="5"/>
        <v>0</v>
      </c>
    </row>
    <row r="20" spans="2:25" ht="15" hidden="1" customHeight="1" thickBot="1" x14ac:dyDescent="0.25">
      <c r="B20" s="495" t="s">
        <v>366</v>
      </c>
      <c r="C20" s="496" t="s">
        <v>349</v>
      </c>
      <c r="D20" s="540" t="s">
        <v>272</v>
      </c>
      <c r="E20" s="498" t="s">
        <v>365</v>
      </c>
      <c r="F20" s="499">
        <f t="shared" si="0"/>
        <v>200</v>
      </c>
      <c r="G20" s="205">
        <v>200</v>
      </c>
      <c r="H20" s="205">
        <v>0</v>
      </c>
      <c r="I20" s="205">
        <v>0</v>
      </c>
      <c r="J20" s="205">
        <v>0</v>
      </c>
      <c r="K20" s="499">
        <f t="shared" si="6"/>
        <v>198</v>
      </c>
      <c r="L20" s="205">
        <v>198</v>
      </c>
      <c r="M20" s="205">
        <v>0</v>
      </c>
      <c r="N20" s="205">
        <v>0</v>
      </c>
      <c r="O20" s="205">
        <v>0</v>
      </c>
      <c r="P20" s="499">
        <f t="shared" si="8"/>
        <v>461</v>
      </c>
      <c r="Q20" s="205">
        <v>461</v>
      </c>
      <c r="R20" s="205">
        <v>0</v>
      </c>
      <c r="S20" s="205">
        <v>0</v>
      </c>
      <c r="T20" s="206">
        <v>0</v>
      </c>
      <c r="U20" s="297">
        <f t="shared" si="1"/>
        <v>261</v>
      </c>
      <c r="V20" s="205">
        <f t="shared" si="2"/>
        <v>261</v>
      </c>
      <c r="W20" s="205">
        <f t="shared" si="3"/>
        <v>0</v>
      </c>
      <c r="X20" s="205">
        <f t="shared" si="4"/>
        <v>0</v>
      </c>
      <c r="Y20" s="206">
        <f t="shared" si="5"/>
        <v>0</v>
      </c>
    </row>
    <row r="21" spans="2:25" ht="15" customHeight="1" thickBot="1" x14ac:dyDescent="0.25">
      <c r="B21" s="539" t="s">
        <v>366</v>
      </c>
      <c r="C21" s="538"/>
      <c r="D21" s="537" t="s">
        <v>272</v>
      </c>
      <c r="E21" s="536" t="s">
        <v>365</v>
      </c>
      <c r="F21" s="505">
        <f t="shared" si="0"/>
        <v>490</v>
      </c>
      <c r="G21" s="535">
        <f>SUM(G19:G20)</f>
        <v>490</v>
      </c>
      <c r="H21" s="535">
        <f>SUM(H19:H20)</f>
        <v>0</v>
      </c>
      <c r="I21" s="535">
        <f>SUM(I19:I20)</f>
        <v>0</v>
      </c>
      <c r="J21" s="535">
        <f>SUM(J19:J20)</f>
        <v>0</v>
      </c>
      <c r="K21" s="505">
        <f t="shared" si="6"/>
        <v>485</v>
      </c>
      <c r="L21" s="535">
        <f t="shared" ref="L21:O21" si="11">SUM(L19:L20)</f>
        <v>485</v>
      </c>
      <c r="M21" s="535">
        <f t="shared" si="11"/>
        <v>0</v>
      </c>
      <c r="N21" s="535">
        <f t="shared" si="11"/>
        <v>0</v>
      </c>
      <c r="O21" s="535">
        <f t="shared" si="11"/>
        <v>0</v>
      </c>
      <c r="P21" s="505">
        <f t="shared" si="8"/>
        <v>461</v>
      </c>
      <c r="Q21" s="535">
        <f t="shared" ref="Q21:T21" si="12">SUM(Q19:Q20)</f>
        <v>461</v>
      </c>
      <c r="R21" s="535">
        <f t="shared" si="12"/>
        <v>0</v>
      </c>
      <c r="S21" s="535">
        <f t="shared" si="12"/>
        <v>0</v>
      </c>
      <c r="T21" s="534">
        <f t="shared" si="12"/>
        <v>0</v>
      </c>
      <c r="U21" s="506">
        <f t="shared" si="1"/>
        <v>-29</v>
      </c>
      <c r="V21" s="535">
        <f t="shared" ref="V21:Y21" si="13">SUM(V19:V20)</f>
        <v>-29</v>
      </c>
      <c r="W21" s="535">
        <f t="shared" si="13"/>
        <v>0</v>
      </c>
      <c r="X21" s="535">
        <f t="shared" si="13"/>
        <v>0</v>
      </c>
      <c r="Y21" s="534">
        <f t="shared" si="13"/>
        <v>0</v>
      </c>
    </row>
    <row r="22" spans="2:25" ht="15" hidden="1" customHeight="1" thickBot="1" x14ac:dyDescent="0.25">
      <c r="B22" s="495" t="s">
        <v>364</v>
      </c>
      <c r="C22" s="496" t="s">
        <v>362</v>
      </c>
      <c r="D22" s="540" t="s">
        <v>272</v>
      </c>
      <c r="E22" s="498" t="s">
        <v>363</v>
      </c>
      <c r="F22" s="499">
        <f t="shared" si="0"/>
        <v>114</v>
      </c>
      <c r="G22" s="205">
        <v>114</v>
      </c>
      <c r="H22" s="205">
        <v>0</v>
      </c>
      <c r="I22" s="205">
        <v>0</v>
      </c>
      <c r="J22" s="205">
        <v>0</v>
      </c>
      <c r="K22" s="499">
        <f t="shared" si="6"/>
        <v>113</v>
      </c>
      <c r="L22" s="205">
        <v>113</v>
      </c>
      <c r="M22" s="205">
        <v>0</v>
      </c>
      <c r="N22" s="205">
        <v>0</v>
      </c>
      <c r="O22" s="205">
        <v>0</v>
      </c>
      <c r="P22" s="499">
        <f t="shared" si="8"/>
        <v>145</v>
      </c>
      <c r="Q22" s="205">
        <v>145</v>
      </c>
      <c r="R22" s="205">
        <v>0</v>
      </c>
      <c r="S22" s="205">
        <v>0</v>
      </c>
      <c r="T22" s="206"/>
      <c r="U22" s="297">
        <f t="shared" si="1"/>
        <v>31</v>
      </c>
      <c r="V22" s="205">
        <f t="shared" si="2"/>
        <v>31</v>
      </c>
      <c r="W22" s="205">
        <f t="shared" si="3"/>
        <v>0</v>
      </c>
      <c r="X22" s="205">
        <f t="shared" si="4"/>
        <v>0</v>
      </c>
      <c r="Y22" s="206">
        <f t="shared" si="5"/>
        <v>0</v>
      </c>
    </row>
    <row r="23" spans="2:25" ht="15" hidden="1" customHeight="1" thickBot="1" x14ac:dyDescent="0.25">
      <c r="B23" s="495" t="s">
        <v>364</v>
      </c>
      <c r="C23" s="496" t="s">
        <v>349</v>
      </c>
      <c r="D23" s="540" t="s">
        <v>272</v>
      </c>
      <c r="E23" s="498" t="s">
        <v>363</v>
      </c>
      <c r="F23" s="499">
        <f t="shared" si="0"/>
        <v>3033</v>
      </c>
      <c r="G23" s="205">
        <v>1909</v>
      </c>
      <c r="H23" s="205">
        <v>0</v>
      </c>
      <c r="I23" s="205">
        <v>0</v>
      </c>
      <c r="J23" s="205">
        <v>1124</v>
      </c>
      <c r="K23" s="499">
        <f t="shared" si="6"/>
        <v>3014</v>
      </c>
      <c r="L23" s="205">
        <v>1890</v>
      </c>
      <c r="M23" s="205">
        <v>0</v>
      </c>
      <c r="N23" s="205">
        <v>0</v>
      </c>
      <c r="O23" s="205">
        <v>1124</v>
      </c>
      <c r="P23" s="499">
        <f t="shared" si="8"/>
        <v>2446</v>
      </c>
      <c r="Q23" s="205">
        <v>1700</v>
      </c>
      <c r="R23" s="205">
        <v>0</v>
      </c>
      <c r="S23" s="205">
        <v>0</v>
      </c>
      <c r="T23" s="206">
        <v>746</v>
      </c>
      <c r="U23" s="297">
        <f t="shared" si="1"/>
        <v>-587</v>
      </c>
      <c r="V23" s="205">
        <f t="shared" si="2"/>
        <v>-209</v>
      </c>
      <c r="W23" s="205">
        <f t="shared" si="3"/>
        <v>0</v>
      </c>
      <c r="X23" s="205">
        <f t="shared" si="4"/>
        <v>0</v>
      </c>
      <c r="Y23" s="206">
        <f t="shared" si="5"/>
        <v>-378</v>
      </c>
    </row>
    <row r="24" spans="2:25" ht="15" hidden="1" customHeight="1" thickBot="1" x14ac:dyDescent="0.25">
      <c r="B24" s="495" t="s">
        <v>364</v>
      </c>
      <c r="C24" s="496" t="s">
        <v>277</v>
      </c>
      <c r="D24" s="540" t="s">
        <v>272</v>
      </c>
      <c r="E24" s="498" t="s">
        <v>363</v>
      </c>
      <c r="F24" s="499">
        <f t="shared" si="0"/>
        <v>266</v>
      </c>
      <c r="G24" s="205">
        <v>266</v>
      </c>
      <c r="H24" s="205">
        <v>0</v>
      </c>
      <c r="I24" s="205">
        <v>0</v>
      </c>
      <c r="J24" s="205">
        <v>0</v>
      </c>
      <c r="K24" s="499">
        <f t="shared" si="6"/>
        <v>263</v>
      </c>
      <c r="L24" s="205">
        <v>263</v>
      </c>
      <c r="M24" s="205">
        <v>0</v>
      </c>
      <c r="N24" s="205">
        <v>0</v>
      </c>
      <c r="O24" s="205">
        <v>0</v>
      </c>
      <c r="P24" s="499">
        <f t="shared" si="8"/>
        <v>287</v>
      </c>
      <c r="Q24" s="205">
        <v>287</v>
      </c>
      <c r="R24" s="205">
        <v>0</v>
      </c>
      <c r="S24" s="205">
        <v>0</v>
      </c>
      <c r="T24" s="206"/>
      <c r="U24" s="297">
        <f t="shared" si="1"/>
        <v>21</v>
      </c>
      <c r="V24" s="205">
        <f t="shared" si="2"/>
        <v>21</v>
      </c>
      <c r="W24" s="205">
        <f t="shared" si="3"/>
        <v>0</v>
      </c>
      <c r="X24" s="205">
        <f t="shared" si="4"/>
        <v>0</v>
      </c>
      <c r="Y24" s="206">
        <f t="shared" si="5"/>
        <v>0</v>
      </c>
    </row>
    <row r="25" spans="2:25" ht="15" hidden="1" customHeight="1" thickBot="1" x14ac:dyDescent="0.25">
      <c r="B25" s="495" t="s">
        <v>364</v>
      </c>
      <c r="C25" s="496" t="s">
        <v>359</v>
      </c>
      <c r="D25" s="540" t="s">
        <v>272</v>
      </c>
      <c r="E25" s="498" t="s">
        <v>363</v>
      </c>
      <c r="F25" s="499">
        <f t="shared" si="0"/>
        <v>0</v>
      </c>
      <c r="G25" s="205">
        <v>0</v>
      </c>
      <c r="H25" s="205">
        <v>0</v>
      </c>
      <c r="I25" s="205">
        <v>0</v>
      </c>
      <c r="J25" s="205">
        <v>0</v>
      </c>
      <c r="K25" s="499">
        <f t="shared" si="6"/>
        <v>0</v>
      </c>
      <c r="L25" s="205">
        <v>0</v>
      </c>
      <c r="M25" s="205">
        <v>0</v>
      </c>
      <c r="N25" s="205">
        <v>0</v>
      </c>
      <c r="O25" s="205">
        <v>0</v>
      </c>
      <c r="P25" s="499">
        <f t="shared" si="8"/>
        <v>0</v>
      </c>
      <c r="Q25" s="205">
        <v>0</v>
      </c>
      <c r="R25" s="205">
        <v>0</v>
      </c>
      <c r="S25" s="205">
        <v>0</v>
      </c>
      <c r="T25" s="206"/>
      <c r="U25" s="297">
        <f t="shared" si="1"/>
        <v>0</v>
      </c>
      <c r="V25" s="205">
        <f t="shared" si="2"/>
        <v>0</v>
      </c>
      <c r="W25" s="205">
        <f t="shared" si="3"/>
        <v>0</v>
      </c>
      <c r="X25" s="205">
        <f t="shared" si="4"/>
        <v>0</v>
      </c>
      <c r="Y25" s="206">
        <f t="shared" si="5"/>
        <v>0</v>
      </c>
    </row>
    <row r="26" spans="2:25" ht="15" hidden="1" customHeight="1" thickBot="1" x14ac:dyDescent="0.25">
      <c r="B26" s="495" t="s">
        <v>364</v>
      </c>
      <c r="C26" s="496" t="s">
        <v>356</v>
      </c>
      <c r="D26" s="540" t="s">
        <v>272</v>
      </c>
      <c r="E26" s="498" t="s">
        <v>363</v>
      </c>
      <c r="F26" s="499">
        <f t="shared" si="0"/>
        <v>380</v>
      </c>
      <c r="G26" s="205">
        <v>380</v>
      </c>
      <c r="H26" s="205">
        <v>0</v>
      </c>
      <c r="I26" s="205">
        <v>0</v>
      </c>
      <c r="J26" s="205">
        <v>0</v>
      </c>
      <c r="K26" s="499">
        <f t="shared" si="6"/>
        <v>376</v>
      </c>
      <c r="L26" s="205">
        <v>376</v>
      </c>
      <c r="M26" s="205">
        <v>0</v>
      </c>
      <c r="N26" s="205">
        <v>0</v>
      </c>
      <c r="O26" s="205">
        <v>0</v>
      </c>
      <c r="P26" s="499">
        <f t="shared" si="8"/>
        <v>388</v>
      </c>
      <c r="Q26" s="205">
        <v>388</v>
      </c>
      <c r="R26" s="205">
        <v>0</v>
      </c>
      <c r="S26" s="205">
        <v>0</v>
      </c>
      <c r="T26" s="206"/>
      <c r="U26" s="297">
        <f t="shared" si="1"/>
        <v>8</v>
      </c>
      <c r="V26" s="205">
        <f t="shared" si="2"/>
        <v>8</v>
      </c>
      <c r="W26" s="205">
        <f t="shared" si="3"/>
        <v>0</v>
      </c>
      <c r="X26" s="205">
        <f t="shared" si="4"/>
        <v>0</v>
      </c>
      <c r="Y26" s="206">
        <f t="shared" si="5"/>
        <v>0</v>
      </c>
    </row>
    <row r="27" spans="2:25" ht="15" hidden="1" customHeight="1" thickBot="1" x14ac:dyDescent="0.25">
      <c r="B27" s="495" t="s">
        <v>364</v>
      </c>
      <c r="C27" s="496" t="s">
        <v>274</v>
      </c>
      <c r="D27" s="540" t="s">
        <v>272</v>
      </c>
      <c r="E27" s="498" t="s">
        <v>363</v>
      </c>
      <c r="F27" s="499">
        <f t="shared" si="0"/>
        <v>332</v>
      </c>
      <c r="G27" s="205">
        <v>332</v>
      </c>
      <c r="H27" s="205">
        <v>0</v>
      </c>
      <c r="I27" s="205">
        <v>0</v>
      </c>
      <c r="J27" s="205">
        <v>0</v>
      </c>
      <c r="K27" s="499">
        <f t="shared" si="6"/>
        <v>329</v>
      </c>
      <c r="L27" s="205">
        <v>329</v>
      </c>
      <c r="M27" s="205">
        <v>0</v>
      </c>
      <c r="N27" s="205">
        <v>0</v>
      </c>
      <c r="O27" s="205">
        <v>0</v>
      </c>
      <c r="P27" s="499">
        <f t="shared" si="8"/>
        <v>360</v>
      </c>
      <c r="Q27" s="205">
        <v>360</v>
      </c>
      <c r="R27" s="205">
        <v>0</v>
      </c>
      <c r="S27" s="205">
        <v>0</v>
      </c>
      <c r="T27" s="206"/>
      <c r="U27" s="297">
        <f t="shared" si="1"/>
        <v>28</v>
      </c>
      <c r="V27" s="205">
        <f t="shared" si="2"/>
        <v>28</v>
      </c>
      <c r="W27" s="205">
        <f t="shared" si="3"/>
        <v>0</v>
      </c>
      <c r="X27" s="205">
        <f t="shared" si="4"/>
        <v>0</v>
      </c>
      <c r="Y27" s="206">
        <f t="shared" si="5"/>
        <v>0</v>
      </c>
    </row>
    <row r="28" spans="2:25" ht="15" customHeight="1" thickBot="1" x14ac:dyDescent="0.25">
      <c r="B28" s="539" t="s">
        <v>364</v>
      </c>
      <c r="C28" s="538"/>
      <c r="D28" s="537" t="s">
        <v>272</v>
      </c>
      <c r="E28" s="536" t="s">
        <v>363</v>
      </c>
      <c r="F28" s="505">
        <f t="shared" si="0"/>
        <v>4125</v>
      </c>
      <c r="G28" s="535">
        <f>SUM(G22:G27)</f>
        <v>3001</v>
      </c>
      <c r="H28" s="535">
        <f>SUM(H22:H27)</f>
        <v>0</v>
      </c>
      <c r="I28" s="535">
        <f>SUM(I22:I27)</f>
        <v>0</v>
      </c>
      <c r="J28" s="535">
        <f>SUM(J22:J27)</f>
        <v>1124</v>
      </c>
      <c r="K28" s="505">
        <f t="shared" si="6"/>
        <v>4095</v>
      </c>
      <c r="L28" s="535">
        <f t="shared" ref="L28:O28" si="14">SUM(L22:L27)</f>
        <v>2971</v>
      </c>
      <c r="M28" s="535">
        <f t="shared" si="14"/>
        <v>0</v>
      </c>
      <c r="N28" s="535">
        <f t="shared" si="14"/>
        <v>0</v>
      </c>
      <c r="O28" s="535">
        <f t="shared" si="14"/>
        <v>1124</v>
      </c>
      <c r="P28" s="505">
        <f t="shared" si="8"/>
        <v>3626</v>
      </c>
      <c r="Q28" s="535">
        <f t="shared" ref="Q28:T28" si="15">SUM(Q22:Q27)</f>
        <v>2880</v>
      </c>
      <c r="R28" s="535">
        <f t="shared" si="15"/>
        <v>0</v>
      </c>
      <c r="S28" s="535">
        <f t="shared" si="15"/>
        <v>0</v>
      </c>
      <c r="T28" s="534">
        <f t="shared" si="15"/>
        <v>746</v>
      </c>
      <c r="U28" s="506">
        <f t="shared" si="1"/>
        <v>-499</v>
      </c>
      <c r="V28" s="535">
        <f t="shared" ref="V28:Y28" si="16">SUM(V22:V27)</f>
        <v>-121</v>
      </c>
      <c r="W28" s="535">
        <f t="shared" si="16"/>
        <v>0</v>
      </c>
      <c r="X28" s="535">
        <f t="shared" si="16"/>
        <v>0</v>
      </c>
      <c r="Y28" s="534">
        <f t="shared" si="16"/>
        <v>-378</v>
      </c>
    </row>
    <row r="29" spans="2:25" ht="15" hidden="1" customHeight="1" thickBot="1" x14ac:dyDescent="0.25">
      <c r="B29" s="495" t="s">
        <v>361</v>
      </c>
      <c r="C29" s="496" t="s">
        <v>362</v>
      </c>
      <c r="D29" s="540" t="s">
        <v>272</v>
      </c>
      <c r="E29" s="498" t="s">
        <v>360</v>
      </c>
      <c r="F29" s="499">
        <f t="shared" si="0"/>
        <v>110</v>
      </c>
      <c r="G29" s="205">
        <v>110</v>
      </c>
      <c r="H29" s="205">
        <v>0</v>
      </c>
      <c r="I29" s="205">
        <v>0</v>
      </c>
      <c r="J29" s="205">
        <v>0</v>
      </c>
      <c r="K29" s="499">
        <f t="shared" si="6"/>
        <v>109</v>
      </c>
      <c r="L29" s="205">
        <v>109</v>
      </c>
      <c r="M29" s="205">
        <v>0</v>
      </c>
      <c r="N29" s="205">
        <v>0</v>
      </c>
      <c r="O29" s="205">
        <v>0</v>
      </c>
      <c r="P29" s="499">
        <f t="shared" si="8"/>
        <v>113</v>
      </c>
      <c r="Q29" s="205">
        <v>113</v>
      </c>
      <c r="R29" s="205">
        <v>0</v>
      </c>
      <c r="S29" s="205">
        <v>0</v>
      </c>
      <c r="T29" s="206"/>
      <c r="U29" s="297">
        <f t="shared" si="1"/>
        <v>3</v>
      </c>
      <c r="V29" s="205">
        <f t="shared" si="2"/>
        <v>3</v>
      </c>
      <c r="W29" s="205">
        <f t="shared" si="3"/>
        <v>0</v>
      </c>
      <c r="X29" s="205">
        <f t="shared" si="4"/>
        <v>0</v>
      </c>
      <c r="Y29" s="206">
        <f t="shared" si="5"/>
        <v>0</v>
      </c>
    </row>
    <row r="30" spans="2:25" ht="15" hidden="1" customHeight="1" thickBot="1" x14ac:dyDescent="0.25">
      <c r="B30" s="495" t="s">
        <v>361</v>
      </c>
      <c r="C30" s="496" t="s">
        <v>349</v>
      </c>
      <c r="D30" s="540" t="s">
        <v>272</v>
      </c>
      <c r="E30" s="498" t="s">
        <v>360</v>
      </c>
      <c r="F30" s="499">
        <f t="shared" si="0"/>
        <v>6405</v>
      </c>
      <c r="G30" s="205">
        <v>1640</v>
      </c>
      <c r="H30" s="205">
        <v>0</v>
      </c>
      <c r="I30" s="205">
        <v>0</v>
      </c>
      <c r="J30" s="205">
        <v>4765</v>
      </c>
      <c r="K30" s="499">
        <f t="shared" si="6"/>
        <v>6389</v>
      </c>
      <c r="L30" s="205">
        <v>1624</v>
      </c>
      <c r="M30" s="205">
        <v>0</v>
      </c>
      <c r="N30" s="205">
        <v>0</v>
      </c>
      <c r="O30" s="205">
        <v>4765</v>
      </c>
      <c r="P30" s="499">
        <f t="shared" si="8"/>
        <v>5132</v>
      </c>
      <c r="Q30" s="205">
        <f>1503-15</f>
        <v>1488</v>
      </c>
      <c r="R30" s="205">
        <v>0</v>
      </c>
      <c r="S30" s="205">
        <v>0</v>
      </c>
      <c r="T30" s="206">
        <v>3644</v>
      </c>
      <c r="U30" s="297">
        <f t="shared" si="1"/>
        <v>-1273</v>
      </c>
      <c r="V30" s="205">
        <f t="shared" si="2"/>
        <v>-152</v>
      </c>
      <c r="W30" s="205">
        <f t="shared" si="3"/>
        <v>0</v>
      </c>
      <c r="X30" s="205">
        <f t="shared" si="4"/>
        <v>0</v>
      </c>
      <c r="Y30" s="206">
        <f t="shared" si="5"/>
        <v>-1121</v>
      </c>
    </row>
    <row r="31" spans="2:25" ht="15" hidden="1" customHeight="1" thickBot="1" x14ac:dyDescent="0.25">
      <c r="B31" s="495" t="s">
        <v>361</v>
      </c>
      <c r="C31" s="496" t="s">
        <v>277</v>
      </c>
      <c r="D31" s="540" t="s">
        <v>272</v>
      </c>
      <c r="E31" s="498" t="s">
        <v>360</v>
      </c>
      <c r="F31" s="499">
        <f t="shared" si="0"/>
        <v>163</v>
      </c>
      <c r="G31" s="205">
        <v>163</v>
      </c>
      <c r="H31" s="205">
        <v>0</v>
      </c>
      <c r="I31" s="205">
        <v>0</v>
      </c>
      <c r="J31" s="205">
        <v>0</v>
      </c>
      <c r="K31" s="499">
        <f t="shared" si="6"/>
        <v>131</v>
      </c>
      <c r="L31" s="205">
        <v>131</v>
      </c>
      <c r="M31" s="205">
        <v>0</v>
      </c>
      <c r="N31" s="205">
        <v>0</v>
      </c>
      <c r="O31" s="205">
        <v>0</v>
      </c>
      <c r="P31" s="499">
        <f t="shared" si="8"/>
        <v>170</v>
      </c>
      <c r="Q31" s="205">
        <v>170</v>
      </c>
      <c r="R31" s="205">
        <v>0</v>
      </c>
      <c r="S31" s="205">
        <v>0</v>
      </c>
      <c r="T31" s="206"/>
      <c r="U31" s="297">
        <f t="shared" si="1"/>
        <v>7</v>
      </c>
      <c r="V31" s="205">
        <f t="shared" si="2"/>
        <v>7</v>
      </c>
      <c r="W31" s="205">
        <f t="shared" si="3"/>
        <v>0</v>
      </c>
      <c r="X31" s="205">
        <f t="shared" si="4"/>
        <v>0</v>
      </c>
      <c r="Y31" s="206">
        <f t="shared" si="5"/>
        <v>0</v>
      </c>
    </row>
    <row r="32" spans="2:25" ht="15" hidden="1" customHeight="1" thickBot="1" x14ac:dyDescent="0.25">
      <c r="B32" s="495" t="s">
        <v>361</v>
      </c>
      <c r="C32" s="496" t="s">
        <v>359</v>
      </c>
      <c r="D32" s="540" t="s">
        <v>272</v>
      </c>
      <c r="E32" s="498" t="s">
        <v>360</v>
      </c>
      <c r="F32" s="499">
        <f t="shared" si="0"/>
        <v>48</v>
      </c>
      <c r="G32" s="205">
        <v>48</v>
      </c>
      <c r="H32" s="205">
        <v>0</v>
      </c>
      <c r="I32" s="205">
        <v>0</v>
      </c>
      <c r="J32" s="205">
        <v>0</v>
      </c>
      <c r="K32" s="499">
        <f t="shared" si="6"/>
        <v>48</v>
      </c>
      <c r="L32" s="205">
        <v>48</v>
      </c>
      <c r="M32" s="205">
        <v>0</v>
      </c>
      <c r="N32" s="205">
        <v>0</v>
      </c>
      <c r="O32" s="205">
        <v>0</v>
      </c>
      <c r="P32" s="499">
        <f t="shared" si="8"/>
        <v>57</v>
      </c>
      <c r="Q32" s="205">
        <v>57</v>
      </c>
      <c r="R32" s="205">
        <v>0</v>
      </c>
      <c r="S32" s="205">
        <v>0</v>
      </c>
      <c r="T32" s="206"/>
      <c r="U32" s="297">
        <f t="shared" si="1"/>
        <v>9</v>
      </c>
      <c r="V32" s="205">
        <f t="shared" si="2"/>
        <v>9</v>
      </c>
      <c r="W32" s="205">
        <f t="shared" si="3"/>
        <v>0</v>
      </c>
      <c r="X32" s="205">
        <f t="shared" si="4"/>
        <v>0</v>
      </c>
      <c r="Y32" s="206">
        <f t="shared" si="5"/>
        <v>0</v>
      </c>
    </row>
    <row r="33" spans="2:25" ht="15" hidden="1" customHeight="1" thickBot="1" x14ac:dyDescent="0.25">
      <c r="B33" s="495" t="s">
        <v>361</v>
      </c>
      <c r="C33" s="496" t="s">
        <v>356</v>
      </c>
      <c r="D33" s="540" t="s">
        <v>272</v>
      </c>
      <c r="E33" s="498" t="s">
        <v>360</v>
      </c>
      <c r="F33" s="499">
        <f t="shared" si="0"/>
        <v>855</v>
      </c>
      <c r="G33" s="205">
        <v>855</v>
      </c>
      <c r="H33" s="205">
        <v>0</v>
      </c>
      <c r="I33" s="205">
        <v>0</v>
      </c>
      <c r="J33" s="205">
        <v>0</v>
      </c>
      <c r="K33" s="499">
        <f t="shared" si="6"/>
        <v>846</v>
      </c>
      <c r="L33" s="205">
        <v>846</v>
      </c>
      <c r="M33" s="205">
        <v>0</v>
      </c>
      <c r="N33" s="205">
        <v>0</v>
      </c>
      <c r="O33" s="205">
        <v>0</v>
      </c>
      <c r="P33" s="499">
        <f t="shared" si="8"/>
        <v>820</v>
      </c>
      <c r="Q33" s="205">
        <v>820</v>
      </c>
      <c r="R33" s="205">
        <v>0</v>
      </c>
      <c r="S33" s="205">
        <v>0</v>
      </c>
      <c r="T33" s="206"/>
      <c r="U33" s="297">
        <f t="shared" si="1"/>
        <v>-35</v>
      </c>
      <c r="V33" s="205">
        <f t="shared" si="2"/>
        <v>-35</v>
      </c>
      <c r="W33" s="205">
        <f t="shared" si="3"/>
        <v>0</v>
      </c>
      <c r="X33" s="205">
        <f t="shared" si="4"/>
        <v>0</v>
      </c>
      <c r="Y33" s="206">
        <f t="shared" si="5"/>
        <v>0</v>
      </c>
    </row>
    <row r="34" spans="2:25" ht="15" hidden="1" customHeight="1" thickBot="1" x14ac:dyDescent="0.25">
      <c r="B34" s="495" t="s">
        <v>361</v>
      </c>
      <c r="C34" s="496" t="s">
        <v>274</v>
      </c>
      <c r="D34" s="540" t="s">
        <v>272</v>
      </c>
      <c r="E34" s="498" t="s">
        <v>360</v>
      </c>
      <c r="F34" s="499">
        <f t="shared" si="0"/>
        <v>48</v>
      </c>
      <c r="G34" s="205">
        <v>48</v>
      </c>
      <c r="H34" s="205">
        <v>0</v>
      </c>
      <c r="I34" s="205">
        <v>0</v>
      </c>
      <c r="J34" s="205">
        <v>0</v>
      </c>
      <c r="K34" s="499">
        <f t="shared" si="6"/>
        <v>48</v>
      </c>
      <c r="L34" s="205">
        <v>48</v>
      </c>
      <c r="M34" s="205">
        <v>0</v>
      </c>
      <c r="N34" s="205">
        <v>0</v>
      </c>
      <c r="O34" s="205">
        <v>0</v>
      </c>
      <c r="P34" s="499">
        <f t="shared" si="8"/>
        <v>57</v>
      </c>
      <c r="Q34" s="205">
        <v>57</v>
      </c>
      <c r="R34" s="205">
        <v>0</v>
      </c>
      <c r="S34" s="205">
        <v>0</v>
      </c>
      <c r="T34" s="206"/>
      <c r="U34" s="297">
        <f t="shared" si="1"/>
        <v>9</v>
      </c>
      <c r="V34" s="205">
        <f t="shared" si="2"/>
        <v>9</v>
      </c>
      <c r="W34" s="205">
        <f t="shared" si="3"/>
        <v>0</v>
      </c>
      <c r="X34" s="205">
        <f t="shared" si="4"/>
        <v>0</v>
      </c>
      <c r="Y34" s="206">
        <f t="shared" si="5"/>
        <v>0</v>
      </c>
    </row>
    <row r="35" spans="2:25" ht="22.5" customHeight="1" thickBot="1" x14ac:dyDescent="0.25">
      <c r="B35" s="539" t="s">
        <v>361</v>
      </c>
      <c r="C35" s="538"/>
      <c r="D35" s="537" t="s">
        <v>272</v>
      </c>
      <c r="E35" s="536" t="s">
        <v>360</v>
      </c>
      <c r="F35" s="505">
        <f t="shared" si="0"/>
        <v>7629</v>
      </c>
      <c r="G35" s="535">
        <f>SUM(G29:G34)</f>
        <v>2864</v>
      </c>
      <c r="H35" s="535">
        <f>SUM(H29:H34)</f>
        <v>0</v>
      </c>
      <c r="I35" s="535">
        <f>SUM(I29:I34)</f>
        <v>0</v>
      </c>
      <c r="J35" s="535">
        <f>SUM(J29:J34)</f>
        <v>4765</v>
      </c>
      <c r="K35" s="505">
        <f t="shared" si="6"/>
        <v>7571</v>
      </c>
      <c r="L35" s="535">
        <f t="shared" ref="L35:O35" si="17">SUM(L29:L34)</f>
        <v>2806</v>
      </c>
      <c r="M35" s="535">
        <f t="shared" si="17"/>
        <v>0</v>
      </c>
      <c r="N35" s="535">
        <f t="shared" si="17"/>
        <v>0</v>
      </c>
      <c r="O35" s="535">
        <f t="shared" si="17"/>
        <v>4765</v>
      </c>
      <c r="P35" s="505">
        <f t="shared" si="8"/>
        <v>6349</v>
      </c>
      <c r="Q35" s="535">
        <f t="shared" ref="Q35:T35" si="18">SUM(Q29:Q34)</f>
        <v>2705</v>
      </c>
      <c r="R35" s="535">
        <f t="shared" si="18"/>
        <v>0</v>
      </c>
      <c r="S35" s="535">
        <f t="shared" si="18"/>
        <v>0</v>
      </c>
      <c r="T35" s="534">
        <f t="shared" si="18"/>
        <v>3644</v>
      </c>
      <c r="U35" s="506">
        <f t="shared" si="1"/>
        <v>-1280</v>
      </c>
      <c r="V35" s="535">
        <f t="shared" ref="V35:Y35" si="19">SUM(V29:V34)</f>
        <v>-159</v>
      </c>
      <c r="W35" s="535">
        <f t="shared" si="19"/>
        <v>0</v>
      </c>
      <c r="X35" s="535">
        <f t="shared" si="19"/>
        <v>0</v>
      </c>
      <c r="Y35" s="534">
        <f t="shared" si="19"/>
        <v>-1121</v>
      </c>
    </row>
    <row r="36" spans="2:25" ht="15" hidden="1" customHeight="1" thickBot="1" x14ac:dyDescent="0.25">
      <c r="B36" s="495" t="s">
        <v>358</v>
      </c>
      <c r="C36" s="496" t="s">
        <v>349</v>
      </c>
      <c r="D36" s="540" t="s">
        <v>272</v>
      </c>
      <c r="E36" s="498" t="s">
        <v>357</v>
      </c>
      <c r="F36" s="499">
        <f t="shared" si="0"/>
        <v>2151</v>
      </c>
      <c r="G36" s="205">
        <v>2117</v>
      </c>
      <c r="H36" s="205">
        <v>0</v>
      </c>
      <c r="I36" s="205">
        <v>0</v>
      </c>
      <c r="J36" s="205">
        <v>34</v>
      </c>
      <c r="K36" s="499">
        <f t="shared" si="6"/>
        <v>2130</v>
      </c>
      <c r="L36" s="205">
        <v>2096</v>
      </c>
      <c r="M36" s="205">
        <v>0</v>
      </c>
      <c r="N36" s="205">
        <v>0</v>
      </c>
      <c r="O36" s="205">
        <v>34</v>
      </c>
      <c r="P36" s="499">
        <f t="shared" si="8"/>
        <v>1837</v>
      </c>
      <c r="Q36" s="205">
        <f>1816-6</f>
        <v>1810</v>
      </c>
      <c r="R36" s="205">
        <v>0</v>
      </c>
      <c r="S36" s="205">
        <v>0</v>
      </c>
      <c r="T36" s="206">
        <v>27</v>
      </c>
      <c r="U36" s="297">
        <f t="shared" si="1"/>
        <v>-314</v>
      </c>
      <c r="V36" s="205">
        <f t="shared" si="2"/>
        <v>-307</v>
      </c>
      <c r="W36" s="205">
        <f t="shared" si="3"/>
        <v>0</v>
      </c>
      <c r="X36" s="205">
        <f t="shared" si="4"/>
        <v>0</v>
      </c>
      <c r="Y36" s="206">
        <f t="shared" si="5"/>
        <v>-7</v>
      </c>
    </row>
    <row r="37" spans="2:25" ht="15" hidden="1" customHeight="1" thickBot="1" x14ac:dyDescent="0.25">
      <c r="B37" s="495" t="s">
        <v>358</v>
      </c>
      <c r="C37" s="496" t="s">
        <v>326</v>
      </c>
      <c r="D37" s="540" t="s">
        <v>272</v>
      </c>
      <c r="E37" s="498" t="s">
        <v>357</v>
      </c>
      <c r="F37" s="499">
        <f t="shared" si="0"/>
        <v>120</v>
      </c>
      <c r="G37" s="205">
        <v>120</v>
      </c>
      <c r="H37" s="205">
        <v>0</v>
      </c>
      <c r="I37" s="205">
        <v>0</v>
      </c>
      <c r="J37" s="205">
        <v>0</v>
      </c>
      <c r="K37" s="499">
        <f t="shared" si="6"/>
        <v>119</v>
      </c>
      <c r="L37" s="205">
        <v>119</v>
      </c>
      <c r="M37" s="205">
        <v>0</v>
      </c>
      <c r="N37" s="205">
        <v>0</v>
      </c>
      <c r="O37" s="205">
        <v>0</v>
      </c>
      <c r="P37" s="499">
        <f t="shared" si="8"/>
        <v>226</v>
      </c>
      <c r="Q37" s="205">
        <v>226</v>
      </c>
      <c r="R37" s="205">
        <v>0</v>
      </c>
      <c r="S37" s="205">
        <v>0</v>
      </c>
      <c r="T37" s="206"/>
      <c r="U37" s="297">
        <f t="shared" si="1"/>
        <v>106</v>
      </c>
      <c r="V37" s="205">
        <f t="shared" si="2"/>
        <v>106</v>
      </c>
      <c r="W37" s="205">
        <f t="shared" si="3"/>
        <v>0</v>
      </c>
      <c r="X37" s="205">
        <f t="shared" si="4"/>
        <v>0</v>
      </c>
      <c r="Y37" s="206">
        <f t="shared" si="5"/>
        <v>0</v>
      </c>
    </row>
    <row r="38" spans="2:25" ht="15" hidden="1" customHeight="1" thickBot="1" x14ac:dyDescent="0.25">
      <c r="B38" s="495" t="s">
        <v>358</v>
      </c>
      <c r="C38" s="496" t="s">
        <v>277</v>
      </c>
      <c r="D38" s="540" t="s">
        <v>272</v>
      </c>
      <c r="E38" s="498" t="s">
        <v>357</v>
      </c>
      <c r="F38" s="499">
        <f t="shared" si="0"/>
        <v>140</v>
      </c>
      <c r="G38" s="205">
        <v>140</v>
      </c>
      <c r="H38" s="205">
        <v>0</v>
      </c>
      <c r="I38" s="205">
        <v>0</v>
      </c>
      <c r="J38" s="205">
        <v>0</v>
      </c>
      <c r="K38" s="499">
        <f t="shared" si="6"/>
        <v>139</v>
      </c>
      <c r="L38" s="205">
        <v>139</v>
      </c>
      <c r="M38" s="205">
        <v>0</v>
      </c>
      <c r="N38" s="205">
        <v>0</v>
      </c>
      <c r="O38" s="205">
        <v>0</v>
      </c>
      <c r="P38" s="499">
        <f t="shared" si="8"/>
        <v>151</v>
      </c>
      <c r="Q38" s="205">
        <v>151</v>
      </c>
      <c r="R38" s="205">
        <v>0</v>
      </c>
      <c r="S38" s="205">
        <v>0</v>
      </c>
      <c r="T38" s="206"/>
      <c r="U38" s="297">
        <f t="shared" si="1"/>
        <v>11</v>
      </c>
      <c r="V38" s="205">
        <f t="shared" si="2"/>
        <v>11</v>
      </c>
      <c r="W38" s="205">
        <f t="shared" si="3"/>
        <v>0</v>
      </c>
      <c r="X38" s="205">
        <f t="shared" si="4"/>
        <v>0</v>
      </c>
      <c r="Y38" s="206">
        <f t="shared" si="5"/>
        <v>0</v>
      </c>
    </row>
    <row r="39" spans="2:25" ht="15" hidden="1" customHeight="1" thickBot="1" x14ac:dyDescent="0.25">
      <c r="B39" s="495" t="s">
        <v>358</v>
      </c>
      <c r="C39" s="496" t="s">
        <v>359</v>
      </c>
      <c r="D39" s="540" t="s">
        <v>272</v>
      </c>
      <c r="E39" s="498" t="s">
        <v>357</v>
      </c>
      <c r="F39" s="499">
        <f t="shared" si="0"/>
        <v>40</v>
      </c>
      <c r="G39" s="205">
        <v>40</v>
      </c>
      <c r="H39" s="205">
        <v>0</v>
      </c>
      <c r="I39" s="205">
        <v>0</v>
      </c>
      <c r="J39" s="205">
        <v>0</v>
      </c>
      <c r="K39" s="499">
        <f t="shared" si="6"/>
        <v>40</v>
      </c>
      <c r="L39" s="205">
        <v>40</v>
      </c>
      <c r="M39" s="205">
        <v>0</v>
      </c>
      <c r="N39" s="205">
        <v>0</v>
      </c>
      <c r="O39" s="205">
        <v>0</v>
      </c>
      <c r="P39" s="499">
        <f t="shared" si="8"/>
        <v>85</v>
      </c>
      <c r="Q39" s="205">
        <v>85</v>
      </c>
      <c r="R39" s="205">
        <v>0</v>
      </c>
      <c r="S39" s="205">
        <v>0</v>
      </c>
      <c r="T39" s="206"/>
      <c r="U39" s="297">
        <f t="shared" si="1"/>
        <v>45</v>
      </c>
      <c r="V39" s="205">
        <f t="shared" si="2"/>
        <v>45</v>
      </c>
      <c r="W39" s="205">
        <f t="shared" si="3"/>
        <v>0</v>
      </c>
      <c r="X39" s="205">
        <f t="shared" si="4"/>
        <v>0</v>
      </c>
      <c r="Y39" s="206">
        <f t="shared" si="5"/>
        <v>0</v>
      </c>
    </row>
    <row r="40" spans="2:25" ht="15" hidden="1" customHeight="1" thickBot="1" x14ac:dyDescent="0.25">
      <c r="B40" s="495" t="s">
        <v>358</v>
      </c>
      <c r="C40" s="496" t="s">
        <v>356</v>
      </c>
      <c r="D40" s="540" t="s">
        <v>272</v>
      </c>
      <c r="E40" s="498" t="s">
        <v>357</v>
      </c>
      <c r="F40" s="499">
        <f t="shared" si="0"/>
        <v>320</v>
      </c>
      <c r="G40" s="205">
        <v>320</v>
      </c>
      <c r="H40" s="205">
        <v>0</v>
      </c>
      <c r="I40" s="205">
        <v>0</v>
      </c>
      <c r="J40" s="205">
        <v>0</v>
      </c>
      <c r="K40" s="499">
        <f t="shared" si="6"/>
        <v>317</v>
      </c>
      <c r="L40" s="205">
        <v>317</v>
      </c>
      <c r="M40" s="205">
        <v>0</v>
      </c>
      <c r="N40" s="205">
        <v>0</v>
      </c>
      <c r="O40" s="205">
        <v>0</v>
      </c>
      <c r="P40" s="499">
        <f t="shared" si="8"/>
        <v>322</v>
      </c>
      <c r="Q40" s="205">
        <v>322</v>
      </c>
      <c r="R40" s="205">
        <v>0</v>
      </c>
      <c r="S40" s="205">
        <v>0</v>
      </c>
      <c r="T40" s="206"/>
      <c r="U40" s="297">
        <f t="shared" si="1"/>
        <v>2</v>
      </c>
      <c r="V40" s="205">
        <f t="shared" si="2"/>
        <v>2</v>
      </c>
      <c r="W40" s="205">
        <f t="shared" si="3"/>
        <v>0</v>
      </c>
      <c r="X40" s="205">
        <f t="shared" si="4"/>
        <v>0</v>
      </c>
      <c r="Y40" s="206">
        <f t="shared" si="5"/>
        <v>0</v>
      </c>
    </row>
    <row r="41" spans="2:25" ht="15" hidden="1" customHeight="1" thickBot="1" x14ac:dyDescent="0.25">
      <c r="B41" s="495" t="s">
        <v>358</v>
      </c>
      <c r="C41" s="496" t="s">
        <v>274</v>
      </c>
      <c r="D41" s="540" t="s">
        <v>272</v>
      </c>
      <c r="E41" s="498" t="s">
        <v>357</v>
      </c>
      <c r="F41" s="499">
        <f t="shared" si="0"/>
        <v>130</v>
      </c>
      <c r="G41" s="542">
        <v>130</v>
      </c>
      <c r="H41" s="542"/>
      <c r="I41" s="542"/>
      <c r="J41" s="542"/>
      <c r="K41" s="499">
        <f t="shared" si="6"/>
        <v>65</v>
      </c>
      <c r="L41" s="542">
        <v>65</v>
      </c>
      <c r="M41" s="542"/>
      <c r="N41" s="542"/>
      <c r="O41" s="542"/>
      <c r="P41" s="499">
        <f t="shared" si="8"/>
        <v>0</v>
      </c>
      <c r="Q41" s="542">
        <v>0</v>
      </c>
      <c r="R41" s="542">
        <v>0</v>
      </c>
      <c r="S41" s="542">
        <v>0</v>
      </c>
      <c r="T41" s="541"/>
      <c r="U41" s="297">
        <f t="shared" si="1"/>
        <v>-130</v>
      </c>
      <c r="V41" s="205">
        <f t="shared" si="2"/>
        <v>-130</v>
      </c>
      <c r="W41" s="205">
        <f t="shared" si="3"/>
        <v>0</v>
      </c>
      <c r="X41" s="205">
        <f t="shared" si="4"/>
        <v>0</v>
      </c>
      <c r="Y41" s="206">
        <f t="shared" si="5"/>
        <v>0</v>
      </c>
    </row>
    <row r="42" spans="2:25" ht="15" customHeight="1" thickBot="1" x14ac:dyDescent="0.25">
      <c r="B42" s="539" t="s">
        <v>358</v>
      </c>
      <c r="C42" s="538"/>
      <c r="D42" s="537" t="s">
        <v>272</v>
      </c>
      <c r="E42" s="536" t="s">
        <v>357</v>
      </c>
      <c r="F42" s="505">
        <f t="shared" si="0"/>
        <v>2901</v>
      </c>
      <c r="G42" s="535">
        <f>SUM(G36:G41)</f>
        <v>2867</v>
      </c>
      <c r="H42" s="535">
        <f>SUM(H36:H41)</f>
        <v>0</v>
      </c>
      <c r="I42" s="535">
        <f>SUM(I36:I41)</f>
        <v>0</v>
      </c>
      <c r="J42" s="535">
        <f>SUM(J36:J41)</f>
        <v>34</v>
      </c>
      <c r="K42" s="505">
        <f t="shared" si="6"/>
        <v>2810</v>
      </c>
      <c r="L42" s="535">
        <f t="shared" ref="L42:O42" si="20">SUM(L36:L41)</f>
        <v>2776</v>
      </c>
      <c r="M42" s="535">
        <f t="shared" si="20"/>
        <v>0</v>
      </c>
      <c r="N42" s="535">
        <f t="shared" si="20"/>
        <v>0</v>
      </c>
      <c r="O42" s="535">
        <f t="shared" si="20"/>
        <v>34</v>
      </c>
      <c r="P42" s="505">
        <f t="shared" si="8"/>
        <v>2621</v>
      </c>
      <c r="Q42" s="535">
        <f t="shared" ref="Q42:T42" si="21">SUM(Q36:Q41)</f>
        <v>2594</v>
      </c>
      <c r="R42" s="535">
        <f t="shared" si="21"/>
        <v>0</v>
      </c>
      <c r="S42" s="535">
        <f t="shared" si="21"/>
        <v>0</v>
      </c>
      <c r="T42" s="534">
        <f t="shared" si="21"/>
        <v>27</v>
      </c>
      <c r="U42" s="506">
        <f t="shared" si="1"/>
        <v>-280</v>
      </c>
      <c r="V42" s="535">
        <f t="shared" ref="V42:Y42" si="22">SUM(V36:V41)</f>
        <v>-273</v>
      </c>
      <c r="W42" s="535">
        <f t="shared" si="22"/>
        <v>0</v>
      </c>
      <c r="X42" s="535">
        <f t="shared" si="22"/>
        <v>0</v>
      </c>
      <c r="Y42" s="534">
        <f t="shared" si="22"/>
        <v>-7</v>
      </c>
    </row>
    <row r="43" spans="2:25" ht="15" hidden="1" customHeight="1" thickBot="1" x14ac:dyDescent="0.25">
      <c r="B43" s="495" t="s">
        <v>355</v>
      </c>
      <c r="C43" s="496" t="s">
        <v>326</v>
      </c>
      <c r="D43" s="540" t="s">
        <v>272</v>
      </c>
      <c r="E43" s="498" t="s">
        <v>354</v>
      </c>
      <c r="F43" s="499">
        <f t="shared" si="0"/>
        <v>2555</v>
      </c>
      <c r="G43" s="205">
        <v>2444</v>
      </c>
      <c r="H43" s="205">
        <v>0</v>
      </c>
      <c r="I43" s="205">
        <v>0</v>
      </c>
      <c r="J43" s="205">
        <v>111</v>
      </c>
      <c r="K43" s="499">
        <f t="shared" si="6"/>
        <v>2531</v>
      </c>
      <c r="L43" s="205">
        <v>2420</v>
      </c>
      <c r="M43" s="205">
        <v>0</v>
      </c>
      <c r="N43" s="205">
        <v>0</v>
      </c>
      <c r="O43" s="205">
        <v>111</v>
      </c>
      <c r="P43" s="499">
        <f t="shared" si="8"/>
        <v>2481</v>
      </c>
      <c r="Q43" s="205">
        <v>2322</v>
      </c>
      <c r="R43" s="205">
        <v>0</v>
      </c>
      <c r="S43" s="205">
        <v>0</v>
      </c>
      <c r="T43" s="206">
        <v>159</v>
      </c>
      <c r="U43" s="297">
        <f t="shared" si="1"/>
        <v>-74</v>
      </c>
      <c r="V43" s="205">
        <f t="shared" si="2"/>
        <v>-122</v>
      </c>
      <c r="W43" s="205">
        <f t="shared" si="3"/>
        <v>0</v>
      </c>
      <c r="X43" s="205">
        <f t="shared" si="4"/>
        <v>0</v>
      </c>
      <c r="Y43" s="206">
        <f t="shared" si="5"/>
        <v>48</v>
      </c>
    </row>
    <row r="44" spans="2:25" ht="15" hidden="1" customHeight="1" thickBot="1" x14ac:dyDescent="0.25">
      <c r="B44" s="495" t="s">
        <v>355</v>
      </c>
      <c r="C44" s="496" t="s">
        <v>277</v>
      </c>
      <c r="D44" s="540" t="s">
        <v>272</v>
      </c>
      <c r="E44" s="498" t="s">
        <v>354</v>
      </c>
      <c r="F44" s="499">
        <f t="shared" si="0"/>
        <v>398</v>
      </c>
      <c r="G44" s="205">
        <v>300</v>
      </c>
      <c r="H44" s="205">
        <v>60</v>
      </c>
      <c r="I44" s="205">
        <v>0</v>
      </c>
      <c r="J44" s="205">
        <v>38</v>
      </c>
      <c r="K44" s="499">
        <f t="shared" si="6"/>
        <v>395</v>
      </c>
      <c r="L44" s="205">
        <v>297</v>
      </c>
      <c r="M44" s="205">
        <v>60</v>
      </c>
      <c r="N44" s="205">
        <v>0</v>
      </c>
      <c r="O44" s="205">
        <v>38</v>
      </c>
      <c r="P44" s="499">
        <f t="shared" si="8"/>
        <v>330</v>
      </c>
      <c r="Q44" s="205">
        <v>285</v>
      </c>
      <c r="R44" s="205">
        <v>45</v>
      </c>
      <c r="S44" s="205">
        <v>0</v>
      </c>
      <c r="T44" s="206"/>
      <c r="U44" s="297">
        <f t="shared" si="1"/>
        <v>-68</v>
      </c>
      <c r="V44" s="205">
        <f t="shared" si="2"/>
        <v>-15</v>
      </c>
      <c r="W44" s="205">
        <f t="shared" si="3"/>
        <v>-15</v>
      </c>
      <c r="X44" s="205">
        <f t="shared" si="4"/>
        <v>0</v>
      </c>
      <c r="Y44" s="206">
        <f t="shared" si="5"/>
        <v>-38</v>
      </c>
    </row>
    <row r="45" spans="2:25" ht="15" hidden="1" customHeight="1" thickBot="1" x14ac:dyDescent="0.25">
      <c r="B45" s="495" t="s">
        <v>355</v>
      </c>
      <c r="C45" s="496" t="s">
        <v>356</v>
      </c>
      <c r="D45" s="540" t="s">
        <v>272</v>
      </c>
      <c r="E45" s="498" t="s">
        <v>354</v>
      </c>
      <c r="F45" s="499">
        <f t="shared" si="0"/>
        <v>180</v>
      </c>
      <c r="G45" s="205">
        <v>180</v>
      </c>
      <c r="H45" s="205">
        <v>0</v>
      </c>
      <c r="I45" s="205">
        <v>0</v>
      </c>
      <c r="J45" s="205">
        <v>0</v>
      </c>
      <c r="K45" s="499">
        <f t="shared" si="6"/>
        <v>178</v>
      </c>
      <c r="L45" s="205">
        <v>178</v>
      </c>
      <c r="M45" s="205">
        <v>0</v>
      </c>
      <c r="N45" s="205">
        <v>0</v>
      </c>
      <c r="O45" s="205">
        <v>0</v>
      </c>
      <c r="P45" s="499">
        <f t="shared" si="8"/>
        <v>171</v>
      </c>
      <c r="Q45" s="205">
        <v>171</v>
      </c>
      <c r="R45" s="205">
        <v>0</v>
      </c>
      <c r="S45" s="205">
        <v>0</v>
      </c>
      <c r="T45" s="206"/>
      <c r="U45" s="297">
        <f t="shared" si="1"/>
        <v>-9</v>
      </c>
      <c r="V45" s="205">
        <f t="shared" si="2"/>
        <v>-9</v>
      </c>
      <c r="W45" s="205">
        <f t="shared" si="3"/>
        <v>0</v>
      </c>
      <c r="X45" s="205">
        <f t="shared" si="4"/>
        <v>0</v>
      </c>
      <c r="Y45" s="206">
        <f t="shared" si="5"/>
        <v>0</v>
      </c>
    </row>
    <row r="46" spans="2:25" ht="15" customHeight="1" thickBot="1" x14ac:dyDescent="0.25">
      <c r="B46" s="539" t="s">
        <v>355</v>
      </c>
      <c r="C46" s="538"/>
      <c r="D46" s="537" t="s">
        <v>272</v>
      </c>
      <c r="E46" s="536" t="s">
        <v>354</v>
      </c>
      <c r="F46" s="505">
        <f t="shared" si="0"/>
        <v>3133</v>
      </c>
      <c r="G46" s="535">
        <f>SUM(G43:G45)</f>
        <v>2924</v>
      </c>
      <c r="H46" s="535">
        <f>SUM(H43:H45)</f>
        <v>60</v>
      </c>
      <c r="I46" s="535">
        <f>SUM(I43:I45)</f>
        <v>0</v>
      </c>
      <c r="J46" s="535">
        <f>SUM(J43:J45)</f>
        <v>149</v>
      </c>
      <c r="K46" s="505">
        <f t="shared" si="6"/>
        <v>3104</v>
      </c>
      <c r="L46" s="535">
        <f t="shared" ref="L46:O46" si="23">SUM(L43:L45)</f>
        <v>2895</v>
      </c>
      <c r="M46" s="535">
        <f t="shared" si="23"/>
        <v>60</v>
      </c>
      <c r="N46" s="535">
        <f t="shared" si="23"/>
        <v>0</v>
      </c>
      <c r="O46" s="535">
        <f t="shared" si="23"/>
        <v>149</v>
      </c>
      <c r="P46" s="505">
        <f t="shared" si="8"/>
        <v>2982</v>
      </c>
      <c r="Q46" s="535">
        <f t="shared" ref="Q46:T46" si="24">SUM(Q43:Q45)</f>
        <v>2778</v>
      </c>
      <c r="R46" s="535">
        <f t="shared" si="24"/>
        <v>45</v>
      </c>
      <c r="S46" s="535">
        <f t="shared" si="24"/>
        <v>0</v>
      </c>
      <c r="T46" s="534">
        <f t="shared" si="24"/>
        <v>159</v>
      </c>
      <c r="U46" s="506">
        <f t="shared" si="1"/>
        <v>-151</v>
      </c>
      <c r="V46" s="535">
        <f t="shared" ref="V46:Y46" si="25">SUM(V43:V45)</f>
        <v>-146</v>
      </c>
      <c r="W46" s="535">
        <f t="shared" si="25"/>
        <v>-15</v>
      </c>
      <c r="X46" s="535">
        <f t="shared" si="25"/>
        <v>0</v>
      </c>
      <c r="Y46" s="534">
        <f t="shared" si="25"/>
        <v>10</v>
      </c>
    </row>
    <row r="47" spans="2:25" ht="15" hidden="1" customHeight="1" thickBot="1" x14ac:dyDescent="0.25">
      <c r="B47" s="495" t="s">
        <v>353</v>
      </c>
      <c r="C47" s="496" t="s">
        <v>349</v>
      </c>
      <c r="D47" s="540" t="s">
        <v>272</v>
      </c>
      <c r="E47" s="498" t="s">
        <v>352</v>
      </c>
      <c r="F47" s="499">
        <f t="shared" si="0"/>
        <v>1108</v>
      </c>
      <c r="G47" s="205">
        <v>872</v>
      </c>
      <c r="H47" s="205">
        <v>0</v>
      </c>
      <c r="I47" s="205">
        <v>0</v>
      </c>
      <c r="J47" s="205">
        <v>236</v>
      </c>
      <c r="K47" s="499">
        <f t="shared" si="6"/>
        <v>1099</v>
      </c>
      <c r="L47" s="205">
        <v>863</v>
      </c>
      <c r="M47" s="205">
        <v>0</v>
      </c>
      <c r="N47" s="205">
        <v>0</v>
      </c>
      <c r="O47" s="205">
        <v>236</v>
      </c>
      <c r="P47" s="499">
        <f t="shared" si="8"/>
        <v>1026</v>
      </c>
      <c r="Q47" s="205">
        <v>863</v>
      </c>
      <c r="R47" s="205">
        <v>0</v>
      </c>
      <c r="S47" s="205">
        <v>0</v>
      </c>
      <c r="T47" s="206">
        <v>163</v>
      </c>
      <c r="U47" s="297">
        <f t="shared" si="1"/>
        <v>-82</v>
      </c>
      <c r="V47" s="205">
        <f t="shared" si="2"/>
        <v>-9</v>
      </c>
      <c r="W47" s="205">
        <f t="shared" si="3"/>
        <v>0</v>
      </c>
      <c r="X47" s="205">
        <f t="shared" si="4"/>
        <v>0</v>
      </c>
      <c r="Y47" s="206">
        <f t="shared" si="5"/>
        <v>-73</v>
      </c>
    </row>
    <row r="48" spans="2:25" ht="15" customHeight="1" thickBot="1" x14ac:dyDescent="0.25">
      <c r="B48" s="539" t="s">
        <v>353</v>
      </c>
      <c r="C48" s="538"/>
      <c r="D48" s="537" t="s">
        <v>272</v>
      </c>
      <c r="E48" s="536" t="s">
        <v>352</v>
      </c>
      <c r="F48" s="505">
        <f t="shared" si="0"/>
        <v>1108</v>
      </c>
      <c r="G48" s="535">
        <f>SUM(G47)</f>
        <v>872</v>
      </c>
      <c r="H48" s="535">
        <f>SUM(H47)</f>
        <v>0</v>
      </c>
      <c r="I48" s="535">
        <f>SUM(I47)</f>
        <v>0</v>
      </c>
      <c r="J48" s="535">
        <f>SUM(J47)</f>
        <v>236</v>
      </c>
      <c r="K48" s="499">
        <f t="shared" si="6"/>
        <v>1099</v>
      </c>
      <c r="L48" s="535">
        <f t="shared" ref="L48:O48" si="26">SUM(L47)</f>
        <v>863</v>
      </c>
      <c r="M48" s="535">
        <f t="shared" si="26"/>
        <v>0</v>
      </c>
      <c r="N48" s="535">
        <f t="shared" si="26"/>
        <v>0</v>
      </c>
      <c r="O48" s="535">
        <f t="shared" si="26"/>
        <v>236</v>
      </c>
      <c r="P48" s="505">
        <f t="shared" si="8"/>
        <v>1026</v>
      </c>
      <c r="Q48" s="535">
        <f t="shared" ref="Q48:T48" si="27">SUM(Q47)</f>
        <v>863</v>
      </c>
      <c r="R48" s="535">
        <f t="shared" si="27"/>
        <v>0</v>
      </c>
      <c r="S48" s="535">
        <f t="shared" si="27"/>
        <v>0</v>
      </c>
      <c r="T48" s="534">
        <f t="shared" si="27"/>
        <v>163</v>
      </c>
      <c r="U48" s="506">
        <f t="shared" si="1"/>
        <v>-82</v>
      </c>
      <c r="V48" s="535">
        <f t="shared" ref="V48:Y48" si="28">SUM(V47)</f>
        <v>-9</v>
      </c>
      <c r="W48" s="535">
        <f t="shared" si="28"/>
        <v>0</v>
      </c>
      <c r="X48" s="535">
        <f t="shared" si="28"/>
        <v>0</v>
      </c>
      <c r="Y48" s="534">
        <f t="shared" si="28"/>
        <v>-73</v>
      </c>
    </row>
    <row r="49" spans="2:25" ht="15" hidden="1" customHeight="1" thickBot="1" x14ac:dyDescent="0.25">
      <c r="B49" s="495" t="s">
        <v>351</v>
      </c>
      <c r="C49" s="496" t="s">
        <v>349</v>
      </c>
      <c r="D49" s="540" t="s">
        <v>272</v>
      </c>
      <c r="E49" s="498" t="s">
        <v>350</v>
      </c>
      <c r="F49" s="499">
        <f t="shared" si="0"/>
        <v>1040</v>
      </c>
      <c r="G49" s="205">
        <v>995</v>
      </c>
      <c r="H49" s="205">
        <v>0</v>
      </c>
      <c r="I49" s="205">
        <v>0</v>
      </c>
      <c r="J49" s="205">
        <v>45</v>
      </c>
      <c r="K49" s="499">
        <f t="shared" si="6"/>
        <v>1030</v>
      </c>
      <c r="L49" s="205">
        <v>985</v>
      </c>
      <c r="M49" s="205">
        <v>0</v>
      </c>
      <c r="N49" s="205">
        <v>0</v>
      </c>
      <c r="O49" s="205">
        <v>45</v>
      </c>
      <c r="P49" s="499">
        <f t="shared" si="8"/>
        <v>973</v>
      </c>
      <c r="Q49" s="205">
        <f>945-2</f>
        <v>943</v>
      </c>
      <c r="R49" s="205">
        <v>0</v>
      </c>
      <c r="S49" s="205">
        <v>0</v>
      </c>
      <c r="T49" s="206">
        <v>30</v>
      </c>
      <c r="U49" s="297">
        <f t="shared" ref="U49:U80" si="29">SUM(V49:Y49)</f>
        <v>-67</v>
      </c>
      <c r="V49" s="205">
        <f t="shared" ref="V49:V79" si="30">Q49-G49</f>
        <v>-52</v>
      </c>
      <c r="W49" s="205">
        <f t="shared" ref="W49:W79" si="31">R49-H49</f>
        <v>0</v>
      </c>
      <c r="X49" s="205">
        <f t="shared" ref="X49:X79" si="32">S49-I49</f>
        <v>0</v>
      </c>
      <c r="Y49" s="206">
        <f t="shared" ref="Y49:Y79" si="33">T49-J49</f>
        <v>-15</v>
      </c>
    </row>
    <row r="50" spans="2:25" ht="15" customHeight="1" thickBot="1" x14ac:dyDescent="0.25">
      <c r="B50" s="539" t="s">
        <v>351</v>
      </c>
      <c r="C50" s="538"/>
      <c r="D50" s="537" t="s">
        <v>272</v>
      </c>
      <c r="E50" s="536" t="s">
        <v>350</v>
      </c>
      <c r="F50" s="505">
        <f t="shared" si="0"/>
        <v>1040</v>
      </c>
      <c r="G50" s="535">
        <f>SUM(G49)</f>
        <v>995</v>
      </c>
      <c r="H50" s="535">
        <f>SUM(H49)</f>
        <v>0</v>
      </c>
      <c r="I50" s="535">
        <f>SUM(I49)</f>
        <v>0</v>
      </c>
      <c r="J50" s="535">
        <f>SUM(J49)</f>
        <v>45</v>
      </c>
      <c r="K50" s="505">
        <f t="shared" si="6"/>
        <v>1030</v>
      </c>
      <c r="L50" s="535">
        <f t="shared" ref="L50:O50" si="34">SUM(L49)</f>
        <v>985</v>
      </c>
      <c r="M50" s="535">
        <f t="shared" si="34"/>
        <v>0</v>
      </c>
      <c r="N50" s="535">
        <f t="shared" si="34"/>
        <v>0</v>
      </c>
      <c r="O50" s="535">
        <f t="shared" si="34"/>
        <v>45</v>
      </c>
      <c r="P50" s="505">
        <f t="shared" si="8"/>
        <v>973</v>
      </c>
      <c r="Q50" s="535">
        <f t="shared" ref="Q50:T50" si="35">SUM(Q49)</f>
        <v>943</v>
      </c>
      <c r="R50" s="535">
        <f t="shared" si="35"/>
        <v>0</v>
      </c>
      <c r="S50" s="535">
        <f t="shared" si="35"/>
        <v>0</v>
      </c>
      <c r="T50" s="534">
        <f t="shared" si="35"/>
        <v>30</v>
      </c>
      <c r="U50" s="506">
        <f t="shared" si="29"/>
        <v>-67</v>
      </c>
      <c r="V50" s="535">
        <f t="shared" ref="V50:Y50" si="36">SUM(V49)</f>
        <v>-52</v>
      </c>
      <c r="W50" s="535">
        <f t="shared" si="36"/>
        <v>0</v>
      </c>
      <c r="X50" s="535">
        <f t="shared" si="36"/>
        <v>0</v>
      </c>
      <c r="Y50" s="534">
        <f t="shared" si="36"/>
        <v>-15</v>
      </c>
    </row>
    <row r="51" spans="2:25" ht="15" hidden="1" customHeight="1" thickBot="1" x14ac:dyDescent="0.25">
      <c r="B51" s="495" t="s">
        <v>347</v>
      </c>
      <c r="C51" s="496" t="s">
        <v>349</v>
      </c>
      <c r="D51" s="540" t="s">
        <v>272</v>
      </c>
      <c r="E51" s="498" t="s">
        <v>346</v>
      </c>
      <c r="F51" s="499">
        <f t="shared" si="0"/>
        <v>586</v>
      </c>
      <c r="G51" s="205">
        <v>586</v>
      </c>
      <c r="H51" s="205">
        <v>0</v>
      </c>
      <c r="I51" s="205">
        <v>0</v>
      </c>
      <c r="J51" s="205">
        <v>0</v>
      </c>
      <c r="K51" s="499">
        <f t="shared" si="6"/>
        <v>580</v>
      </c>
      <c r="L51" s="205">
        <v>580</v>
      </c>
      <c r="M51" s="205">
        <v>0</v>
      </c>
      <c r="N51" s="205">
        <v>0</v>
      </c>
      <c r="O51" s="205">
        <v>0</v>
      </c>
      <c r="P51" s="499">
        <f t="shared" si="8"/>
        <v>522</v>
      </c>
      <c r="Q51" s="205">
        <f>522</f>
        <v>522</v>
      </c>
      <c r="R51" s="205">
        <v>0</v>
      </c>
      <c r="S51" s="205">
        <v>0</v>
      </c>
      <c r="T51" s="206"/>
      <c r="U51" s="297">
        <f t="shared" si="29"/>
        <v>-64</v>
      </c>
      <c r="V51" s="205">
        <f t="shared" si="30"/>
        <v>-64</v>
      </c>
      <c r="W51" s="205">
        <f t="shared" si="31"/>
        <v>0</v>
      </c>
      <c r="X51" s="205">
        <f t="shared" si="32"/>
        <v>0</v>
      </c>
      <c r="Y51" s="206">
        <f t="shared" si="33"/>
        <v>0</v>
      </c>
    </row>
    <row r="52" spans="2:25" ht="15" hidden="1" customHeight="1" thickBot="1" x14ac:dyDescent="0.25">
      <c r="B52" s="495" t="s">
        <v>347</v>
      </c>
      <c r="C52" s="496" t="s">
        <v>348</v>
      </c>
      <c r="D52" s="540" t="s">
        <v>272</v>
      </c>
      <c r="E52" s="498" t="s">
        <v>346</v>
      </c>
      <c r="F52" s="499">
        <f t="shared" si="0"/>
        <v>28</v>
      </c>
      <c r="G52" s="205">
        <v>28</v>
      </c>
      <c r="H52" s="205">
        <v>0</v>
      </c>
      <c r="I52" s="205">
        <v>0</v>
      </c>
      <c r="J52" s="205">
        <v>0</v>
      </c>
      <c r="K52" s="499">
        <f t="shared" si="6"/>
        <v>28</v>
      </c>
      <c r="L52" s="205">
        <v>28</v>
      </c>
      <c r="M52" s="205">
        <v>0</v>
      </c>
      <c r="N52" s="205">
        <v>0</v>
      </c>
      <c r="O52" s="205">
        <v>0</v>
      </c>
      <c r="P52" s="499">
        <f t="shared" si="8"/>
        <v>27</v>
      </c>
      <c r="Q52" s="205">
        <v>27</v>
      </c>
      <c r="R52" s="205">
        <v>0</v>
      </c>
      <c r="S52" s="205">
        <v>0</v>
      </c>
      <c r="T52" s="206"/>
      <c r="U52" s="297">
        <f t="shared" si="29"/>
        <v>-1</v>
      </c>
      <c r="V52" s="205">
        <f t="shared" si="30"/>
        <v>-1</v>
      </c>
      <c r="W52" s="205">
        <f t="shared" si="31"/>
        <v>0</v>
      </c>
      <c r="X52" s="205">
        <f t="shared" si="32"/>
        <v>0</v>
      </c>
      <c r="Y52" s="206">
        <f t="shared" si="33"/>
        <v>0</v>
      </c>
    </row>
    <row r="53" spans="2:25" ht="15" hidden="1" customHeight="1" thickBot="1" x14ac:dyDescent="0.25">
      <c r="B53" s="495" t="s">
        <v>347</v>
      </c>
      <c r="C53" s="496" t="s">
        <v>280</v>
      </c>
      <c r="D53" s="540" t="s">
        <v>272</v>
      </c>
      <c r="E53" s="498" t="s">
        <v>346</v>
      </c>
      <c r="F53" s="499">
        <f t="shared" si="0"/>
        <v>1423</v>
      </c>
      <c r="G53" s="205">
        <v>1142</v>
      </c>
      <c r="H53" s="205">
        <v>0</v>
      </c>
      <c r="I53" s="205">
        <v>0</v>
      </c>
      <c r="J53" s="205">
        <v>281</v>
      </c>
      <c r="K53" s="499">
        <f t="shared" si="6"/>
        <v>1412</v>
      </c>
      <c r="L53" s="205">
        <v>1131</v>
      </c>
      <c r="M53" s="205">
        <v>0</v>
      </c>
      <c r="N53" s="205">
        <v>0</v>
      </c>
      <c r="O53" s="205">
        <v>281</v>
      </c>
      <c r="P53" s="499">
        <f t="shared" si="8"/>
        <v>1269</v>
      </c>
      <c r="Q53" s="205">
        <f>1103-5</f>
        <v>1098</v>
      </c>
      <c r="R53" s="205">
        <v>0</v>
      </c>
      <c r="S53" s="205">
        <v>0</v>
      </c>
      <c r="T53" s="206">
        <v>171</v>
      </c>
      <c r="U53" s="297">
        <f t="shared" si="29"/>
        <v>-154</v>
      </c>
      <c r="V53" s="205">
        <f t="shared" si="30"/>
        <v>-44</v>
      </c>
      <c r="W53" s="205">
        <f t="shared" si="31"/>
        <v>0</v>
      </c>
      <c r="X53" s="205">
        <f t="shared" si="32"/>
        <v>0</v>
      </c>
      <c r="Y53" s="206">
        <f t="shared" si="33"/>
        <v>-110</v>
      </c>
    </row>
    <row r="54" spans="2:25" ht="15" customHeight="1" thickBot="1" x14ac:dyDescent="0.25">
      <c r="B54" s="539" t="s">
        <v>347</v>
      </c>
      <c r="C54" s="538"/>
      <c r="D54" s="537" t="s">
        <v>272</v>
      </c>
      <c r="E54" s="536" t="s">
        <v>346</v>
      </c>
      <c r="F54" s="505">
        <f t="shared" si="0"/>
        <v>2037</v>
      </c>
      <c r="G54" s="535">
        <f>SUM(G51:G53)</f>
        <v>1756</v>
      </c>
      <c r="H54" s="535">
        <f>SUM(H51:H53)</f>
        <v>0</v>
      </c>
      <c r="I54" s="535">
        <f>SUM(I51:I53)</f>
        <v>0</v>
      </c>
      <c r="J54" s="535">
        <f>SUM(J51:J53)</f>
        <v>281</v>
      </c>
      <c r="K54" s="505">
        <f t="shared" si="6"/>
        <v>2020</v>
      </c>
      <c r="L54" s="535">
        <f t="shared" ref="L54:O54" si="37">SUM(L51:L53)</f>
        <v>1739</v>
      </c>
      <c r="M54" s="535">
        <f t="shared" si="37"/>
        <v>0</v>
      </c>
      <c r="N54" s="535">
        <f t="shared" si="37"/>
        <v>0</v>
      </c>
      <c r="O54" s="535">
        <f t="shared" si="37"/>
        <v>281</v>
      </c>
      <c r="P54" s="505">
        <f t="shared" si="8"/>
        <v>1818</v>
      </c>
      <c r="Q54" s="535">
        <f t="shared" ref="Q54:T54" si="38">SUM(Q51:Q53)</f>
        <v>1647</v>
      </c>
      <c r="R54" s="535">
        <f t="shared" si="38"/>
        <v>0</v>
      </c>
      <c r="S54" s="535">
        <f t="shared" si="38"/>
        <v>0</v>
      </c>
      <c r="T54" s="534">
        <f t="shared" si="38"/>
        <v>171</v>
      </c>
      <c r="U54" s="506">
        <f t="shared" si="29"/>
        <v>-219</v>
      </c>
      <c r="V54" s="535">
        <f t="shared" ref="V54:Y54" si="39">SUM(V51:V53)</f>
        <v>-109</v>
      </c>
      <c r="W54" s="535">
        <f t="shared" si="39"/>
        <v>0</v>
      </c>
      <c r="X54" s="535">
        <f t="shared" si="39"/>
        <v>0</v>
      </c>
      <c r="Y54" s="534">
        <f t="shared" si="39"/>
        <v>-110</v>
      </c>
    </row>
    <row r="55" spans="2:25" ht="15" hidden="1" customHeight="1" thickBot="1" x14ac:dyDescent="0.25">
      <c r="B55" s="495" t="s">
        <v>345</v>
      </c>
      <c r="C55" s="496" t="s">
        <v>335</v>
      </c>
      <c r="D55" s="540" t="s">
        <v>272</v>
      </c>
      <c r="E55" s="498" t="s">
        <v>344</v>
      </c>
      <c r="F55" s="499">
        <f t="shared" si="0"/>
        <v>2691</v>
      </c>
      <c r="G55" s="205">
        <v>2663</v>
      </c>
      <c r="H55" s="205">
        <v>0</v>
      </c>
      <c r="I55" s="205">
        <v>0</v>
      </c>
      <c r="J55" s="205">
        <v>28</v>
      </c>
      <c r="K55" s="499">
        <f t="shared" si="6"/>
        <v>2691</v>
      </c>
      <c r="L55" s="205">
        <v>2663</v>
      </c>
      <c r="M55" s="205">
        <v>0</v>
      </c>
      <c r="N55" s="205">
        <v>0</v>
      </c>
      <c r="O55" s="205">
        <v>28</v>
      </c>
      <c r="P55" s="499">
        <f t="shared" si="8"/>
        <v>2596</v>
      </c>
      <c r="Q55" s="205">
        <v>2568</v>
      </c>
      <c r="R55" s="205">
        <v>0</v>
      </c>
      <c r="S55" s="205">
        <v>0</v>
      </c>
      <c r="T55" s="206">
        <v>28</v>
      </c>
      <c r="U55" s="297">
        <f t="shared" si="29"/>
        <v>-95</v>
      </c>
      <c r="V55" s="205">
        <f t="shared" si="30"/>
        <v>-95</v>
      </c>
      <c r="W55" s="205">
        <f t="shared" si="31"/>
        <v>0</v>
      </c>
      <c r="X55" s="205">
        <f t="shared" si="32"/>
        <v>0</v>
      </c>
      <c r="Y55" s="206">
        <f t="shared" si="33"/>
        <v>0</v>
      </c>
    </row>
    <row r="56" spans="2:25" ht="15" hidden="1" customHeight="1" thickBot="1" x14ac:dyDescent="0.25">
      <c r="B56" s="495" t="s">
        <v>345</v>
      </c>
      <c r="C56" s="496" t="s">
        <v>277</v>
      </c>
      <c r="D56" s="540" t="s">
        <v>272</v>
      </c>
      <c r="E56" s="498" t="s">
        <v>344</v>
      </c>
      <c r="F56" s="499">
        <f t="shared" si="0"/>
        <v>440</v>
      </c>
      <c r="G56" s="205">
        <v>440</v>
      </c>
      <c r="H56" s="205">
        <v>0</v>
      </c>
      <c r="I56" s="205">
        <v>0</v>
      </c>
      <c r="J56" s="205">
        <v>0</v>
      </c>
      <c r="K56" s="499">
        <f t="shared" si="6"/>
        <v>440</v>
      </c>
      <c r="L56" s="205">
        <v>440</v>
      </c>
      <c r="M56" s="205">
        <v>0</v>
      </c>
      <c r="N56" s="205">
        <v>0</v>
      </c>
      <c r="O56" s="205">
        <v>0</v>
      </c>
      <c r="P56" s="499">
        <f t="shared" si="8"/>
        <v>380</v>
      </c>
      <c r="Q56" s="205">
        <v>380</v>
      </c>
      <c r="R56" s="205">
        <v>0</v>
      </c>
      <c r="S56" s="205">
        <v>0</v>
      </c>
      <c r="T56" s="206"/>
      <c r="U56" s="297">
        <f t="shared" si="29"/>
        <v>-60</v>
      </c>
      <c r="V56" s="205">
        <f t="shared" si="30"/>
        <v>-60</v>
      </c>
      <c r="W56" s="205">
        <f t="shared" si="31"/>
        <v>0</v>
      </c>
      <c r="X56" s="205">
        <f t="shared" si="32"/>
        <v>0</v>
      </c>
      <c r="Y56" s="206">
        <f t="shared" si="33"/>
        <v>0</v>
      </c>
    </row>
    <row r="57" spans="2:25" ht="24.75" customHeight="1" thickBot="1" x14ac:dyDescent="0.25">
      <c r="B57" s="539" t="s">
        <v>345</v>
      </c>
      <c r="C57" s="538"/>
      <c r="D57" s="537" t="s">
        <v>272</v>
      </c>
      <c r="E57" s="536" t="s">
        <v>344</v>
      </c>
      <c r="F57" s="505">
        <f t="shared" si="0"/>
        <v>3131</v>
      </c>
      <c r="G57" s="535">
        <f>SUM(G55:G56)</f>
        <v>3103</v>
      </c>
      <c r="H57" s="535">
        <f>SUM(H55:H56)</f>
        <v>0</v>
      </c>
      <c r="I57" s="535">
        <f>SUM(I55:I56)</f>
        <v>0</v>
      </c>
      <c r="J57" s="535">
        <f>SUM(J55:J56)</f>
        <v>28</v>
      </c>
      <c r="K57" s="505">
        <f t="shared" si="6"/>
        <v>3131</v>
      </c>
      <c r="L57" s="535">
        <f t="shared" ref="L57:O57" si="40">SUM(L55:L56)</f>
        <v>3103</v>
      </c>
      <c r="M57" s="535">
        <f t="shared" si="40"/>
        <v>0</v>
      </c>
      <c r="N57" s="535">
        <f t="shared" si="40"/>
        <v>0</v>
      </c>
      <c r="O57" s="535">
        <f t="shared" si="40"/>
        <v>28</v>
      </c>
      <c r="P57" s="505">
        <f t="shared" si="8"/>
        <v>2976</v>
      </c>
      <c r="Q57" s="535">
        <f t="shared" ref="Q57:T57" si="41">SUM(Q55:Q56)</f>
        <v>2948</v>
      </c>
      <c r="R57" s="535">
        <f t="shared" si="41"/>
        <v>0</v>
      </c>
      <c r="S57" s="535">
        <f t="shared" si="41"/>
        <v>0</v>
      </c>
      <c r="T57" s="534">
        <f t="shared" si="41"/>
        <v>28</v>
      </c>
      <c r="U57" s="506">
        <f t="shared" si="29"/>
        <v>-155</v>
      </c>
      <c r="V57" s="535">
        <f t="shared" ref="V57:Y57" si="42">SUM(V55:V56)</f>
        <v>-155</v>
      </c>
      <c r="W57" s="535">
        <f t="shared" si="42"/>
        <v>0</v>
      </c>
      <c r="X57" s="535">
        <f t="shared" si="42"/>
        <v>0</v>
      </c>
      <c r="Y57" s="534">
        <f t="shared" si="42"/>
        <v>0</v>
      </c>
    </row>
    <row r="58" spans="2:25" ht="15" hidden="1" customHeight="1" thickBot="1" x14ac:dyDescent="0.25">
      <c r="B58" s="495" t="s">
        <v>343</v>
      </c>
      <c r="C58" s="496" t="s">
        <v>335</v>
      </c>
      <c r="D58" s="540" t="s">
        <v>272</v>
      </c>
      <c r="E58" s="498" t="s">
        <v>342</v>
      </c>
      <c r="F58" s="499">
        <f t="shared" si="0"/>
        <v>4337</v>
      </c>
      <c r="G58" s="205">
        <v>2973</v>
      </c>
      <c r="H58" s="205">
        <v>0</v>
      </c>
      <c r="I58" s="205">
        <v>0</v>
      </c>
      <c r="J58" s="205">
        <v>1364</v>
      </c>
      <c r="K58" s="499">
        <f t="shared" si="6"/>
        <v>4919.75</v>
      </c>
      <c r="L58" s="205">
        <f>355575/100</f>
        <v>3555.75</v>
      </c>
      <c r="M58" s="205">
        <v>0</v>
      </c>
      <c r="N58" s="205">
        <v>0</v>
      </c>
      <c r="O58" s="205">
        <v>1364</v>
      </c>
      <c r="P58" s="499">
        <f t="shared" si="8"/>
        <v>4149</v>
      </c>
      <c r="Q58" s="205">
        <v>3107</v>
      </c>
      <c r="R58" s="205">
        <v>0</v>
      </c>
      <c r="S58" s="205">
        <v>0</v>
      </c>
      <c r="T58" s="206">
        <v>1042</v>
      </c>
      <c r="U58" s="297">
        <f t="shared" si="29"/>
        <v>-188</v>
      </c>
      <c r="V58" s="205">
        <f t="shared" si="30"/>
        <v>134</v>
      </c>
      <c r="W58" s="205">
        <f t="shared" si="31"/>
        <v>0</v>
      </c>
      <c r="X58" s="205">
        <f t="shared" si="32"/>
        <v>0</v>
      </c>
      <c r="Y58" s="206">
        <f t="shared" si="33"/>
        <v>-322</v>
      </c>
    </row>
    <row r="59" spans="2:25" ht="15" hidden="1" customHeight="1" thickBot="1" x14ac:dyDescent="0.25">
      <c r="B59" s="495" t="s">
        <v>343</v>
      </c>
      <c r="C59" s="496" t="s">
        <v>277</v>
      </c>
      <c r="D59" s="540" t="s">
        <v>272</v>
      </c>
      <c r="E59" s="498" t="s">
        <v>342</v>
      </c>
      <c r="F59" s="499">
        <f t="shared" si="0"/>
        <v>488</v>
      </c>
      <c r="G59" s="542">
        <v>465</v>
      </c>
      <c r="H59" s="542">
        <v>0</v>
      </c>
      <c r="I59" s="542">
        <v>0</v>
      </c>
      <c r="J59" s="542">
        <v>23</v>
      </c>
      <c r="K59" s="499">
        <f t="shared" si="6"/>
        <v>483</v>
      </c>
      <c r="L59" s="542">
        <v>460</v>
      </c>
      <c r="M59" s="542"/>
      <c r="N59" s="542"/>
      <c r="O59" s="542">
        <v>23</v>
      </c>
      <c r="P59" s="499">
        <f t="shared" si="8"/>
        <v>0</v>
      </c>
      <c r="Q59" s="542">
        <v>0</v>
      </c>
      <c r="R59" s="542">
        <v>0</v>
      </c>
      <c r="S59" s="542">
        <v>0</v>
      </c>
      <c r="T59" s="541"/>
      <c r="U59" s="297">
        <f t="shared" si="29"/>
        <v>-488</v>
      </c>
      <c r="V59" s="205">
        <f t="shared" si="30"/>
        <v>-465</v>
      </c>
      <c r="W59" s="205">
        <f t="shared" si="31"/>
        <v>0</v>
      </c>
      <c r="X59" s="205">
        <f t="shared" si="32"/>
        <v>0</v>
      </c>
      <c r="Y59" s="206">
        <f t="shared" si="33"/>
        <v>-23</v>
      </c>
    </row>
    <row r="60" spans="2:25" ht="15" customHeight="1" thickBot="1" x14ac:dyDescent="0.25">
      <c r="B60" s="539" t="s">
        <v>343</v>
      </c>
      <c r="C60" s="538"/>
      <c r="D60" s="537" t="s">
        <v>272</v>
      </c>
      <c r="E60" s="536" t="s">
        <v>342</v>
      </c>
      <c r="F60" s="505">
        <f t="shared" si="0"/>
        <v>4825</v>
      </c>
      <c r="G60" s="535">
        <f>SUM(G58:G59)</f>
        <v>3438</v>
      </c>
      <c r="H60" s="535">
        <f>SUM(H58:H59)</f>
        <v>0</v>
      </c>
      <c r="I60" s="535">
        <f>SUM(I58:I59)</f>
        <v>0</v>
      </c>
      <c r="J60" s="535">
        <f>SUM(J58:J59)</f>
        <v>1387</v>
      </c>
      <c r="K60" s="505">
        <f t="shared" si="6"/>
        <v>5402.75</v>
      </c>
      <c r="L60" s="535">
        <f t="shared" ref="L60:O60" si="43">SUM(L58:L59)</f>
        <v>4015.75</v>
      </c>
      <c r="M60" s="535">
        <f t="shared" si="43"/>
        <v>0</v>
      </c>
      <c r="N60" s="535">
        <f t="shared" si="43"/>
        <v>0</v>
      </c>
      <c r="O60" s="535">
        <f t="shared" si="43"/>
        <v>1387</v>
      </c>
      <c r="P60" s="505">
        <f t="shared" si="8"/>
        <v>4149</v>
      </c>
      <c r="Q60" s="535">
        <f t="shared" ref="Q60:T60" si="44">SUM(Q58:Q59)</f>
        <v>3107</v>
      </c>
      <c r="R60" s="535">
        <f t="shared" si="44"/>
        <v>0</v>
      </c>
      <c r="S60" s="535">
        <f t="shared" si="44"/>
        <v>0</v>
      </c>
      <c r="T60" s="534">
        <f t="shared" si="44"/>
        <v>1042</v>
      </c>
      <c r="U60" s="506">
        <f t="shared" si="29"/>
        <v>-676</v>
      </c>
      <c r="V60" s="535">
        <f t="shared" ref="V60:Y60" si="45">SUM(V58:V59)</f>
        <v>-331</v>
      </c>
      <c r="W60" s="535">
        <f t="shared" si="45"/>
        <v>0</v>
      </c>
      <c r="X60" s="535">
        <f t="shared" si="45"/>
        <v>0</v>
      </c>
      <c r="Y60" s="534">
        <f t="shared" si="45"/>
        <v>-345</v>
      </c>
    </row>
    <row r="61" spans="2:25" ht="15" hidden="1" customHeight="1" thickBot="1" x14ac:dyDescent="0.25">
      <c r="B61" s="495" t="s">
        <v>341</v>
      </c>
      <c r="C61" s="496" t="s">
        <v>335</v>
      </c>
      <c r="D61" s="540" t="s">
        <v>272</v>
      </c>
      <c r="E61" s="498" t="s">
        <v>340</v>
      </c>
      <c r="F61" s="499">
        <f t="shared" si="0"/>
        <v>10521</v>
      </c>
      <c r="G61" s="205">
        <v>5895</v>
      </c>
      <c r="H61" s="205">
        <v>0</v>
      </c>
      <c r="I61" s="205">
        <v>0</v>
      </c>
      <c r="J61" s="205">
        <v>4626</v>
      </c>
      <c r="K61" s="499">
        <f t="shared" si="6"/>
        <v>10462</v>
      </c>
      <c r="L61" s="205">
        <v>5836</v>
      </c>
      <c r="M61" s="205">
        <v>0</v>
      </c>
      <c r="N61" s="205">
        <v>0</v>
      </c>
      <c r="O61" s="205">
        <v>4626</v>
      </c>
      <c r="P61" s="499">
        <f t="shared" si="8"/>
        <v>10444</v>
      </c>
      <c r="Q61" s="205">
        <f>6430-47</f>
        <v>6383</v>
      </c>
      <c r="R61" s="205">
        <v>0</v>
      </c>
      <c r="S61" s="205">
        <v>0</v>
      </c>
      <c r="T61" s="206">
        <v>4061</v>
      </c>
      <c r="U61" s="297">
        <f t="shared" si="29"/>
        <v>-77</v>
      </c>
      <c r="V61" s="205">
        <f t="shared" si="30"/>
        <v>488</v>
      </c>
      <c r="W61" s="205">
        <f t="shared" si="31"/>
        <v>0</v>
      </c>
      <c r="X61" s="205">
        <f t="shared" si="32"/>
        <v>0</v>
      </c>
      <c r="Y61" s="206">
        <f t="shared" si="33"/>
        <v>-565</v>
      </c>
    </row>
    <row r="62" spans="2:25" ht="15" hidden="1" customHeight="1" thickBot="1" x14ac:dyDescent="0.25">
      <c r="B62" s="495" t="s">
        <v>341</v>
      </c>
      <c r="C62" s="496" t="s">
        <v>277</v>
      </c>
      <c r="D62" s="540" t="s">
        <v>272</v>
      </c>
      <c r="E62" s="498" t="s">
        <v>340</v>
      </c>
      <c r="F62" s="499">
        <f t="shared" si="0"/>
        <v>600</v>
      </c>
      <c r="G62" s="205">
        <v>600</v>
      </c>
      <c r="H62" s="205">
        <v>0</v>
      </c>
      <c r="I62" s="205">
        <v>0</v>
      </c>
      <c r="J62" s="205">
        <v>0</v>
      </c>
      <c r="K62" s="499">
        <f t="shared" si="6"/>
        <v>574</v>
      </c>
      <c r="L62" s="205">
        <v>574</v>
      </c>
      <c r="M62" s="205">
        <v>0</v>
      </c>
      <c r="N62" s="205">
        <v>0</v>
      </c>
      <c r="O62" s="205">
        <v>0</v>
      </c>
      <c r="P62" s="499">
        <f t="shared" si="8"/>
        <v>0</v>
      </c>
      <c r="Q62" s="205">
        <v>0</v>
      </c>
      <c r="R62" s="205">
        <v>0</v>
      </c>
      <c r="S62" s="205">
        <v>0</v>
      </c>
      <c r="T62" s="206"/>
      <c r="U62" s="297">
        <f t="shared" si="29"/>
        <v>-600</v>
      </c>
      <c r="V62" s="205">
        <f t="shared" si="30"/>
        <v>-600</v>
      </c>
      <c r="W62" s="205">
        <f t="shared" si="31"/>
        <v>0</v>
      </c>
      <c r="X62" s="205">
        <f t="shared" si="32"/>
        <v>0</v>
      </c>
      <c r="Y62" s="206">
        <f t="shared" si="33"/>
        <v>0</v>
      </c>
    </row>
    <row r="63" spans="2:25" ht="29.25" customHeight="1" thickBot="1" x14ac:dyDescent="0.25">
      <c r="B63" s="539" t="s">
        <v>341</v>
      </c>
      <c r="C63" s="538"/>
      <c r="D63" s="537" t="s">
        <v>272</v>
      </c>
      <c r="E63" s="536" t="s">
        <v>340</v>
      </c>
      <c r="F63" s="505">
        <f t="shared" si="0"/>
        <v>11121</v>
      </c>
      <c r="G63" s="535">
        <f>SUM(G61:G62)</f>
        <v>6495</v>
      </c>
      <c r="H63" s="535">
        <f>SUM(H61:H62)</f>
        <v>0</v>
      </c>
      <c r="I63" s="535">
        <f>SUM(I61:I62)</f>
        <v>0</v>
      </c>
      <c r="J63" s="535">
        <f>SUM(J61:J62)</f>
        <v>4626</v>
      </c>
      <c r="K63" s="505">
        <f t="shared" si="6"/>
        <v>11036</v>
      </c>
      <c r="L63" s="535">
        <f t="shared" ref="L63:O63" si="46">SUM(L61:L62)</f>
        <v>6410</v>
      </c>
      <c r="M63" s="535">
        <f t="shared" si="46"/>
        <v>0</v>
      </c>
      <c r="N63" s="535">
        <f t="shared" si="46"/>
        <v>0</v>
      </c>
      <c r="O63" s="535">
        <f t="shared" si="46"/>
        <v>4626</v>
      </c>
      <c r="P63" s="505">
        <f t="shared" si="8"/>
        <v>10444</v>
      </c>
      <c r="Q63" s="535">
        <f t="shared" ref="Q63:T63" si="47">SUM(Q61:Q62)</f>
        <v>6383</v>
      </c>
      <c r="R63" s="535">
        <f t="shared" si="47"/>
        <v>0</v>
      </c>
      <c r="S63" s="535">
        <f t="shared" si="47"/>
        <v>0</v>
      </c>
      <c r="T63" s="534">
        <f t="shared" si="47"/>
        <v>4061</v>
      </c>
      <c r="U63" s="506">
        <f t="shared" si="29"/>
        <v>-677</v>
      </c>
      <c r="V63" s="535">
        <f t="shared" ref="V63:Y63" si="48">SUM(V61:V62)</f>
        <v>-112</v>
      </c>
      <c r="W63" s="535">
        <f t="shared" si="48"/>
        <v>0</v>
      </c>
      <c r="X63" s="535">
        <f t="shared" si="48"/>
        <v>0</v>
      </c>
      <c r="Y63" s="534">
        <f t="shared" si="48"/>
        <v>-565</v>
      </c>
    </row>
    <row r="64" spans="2:25" ht="15" hidden="1" customHeight="1" thickBot="1" x14ac:dyDescent="0.25">
      <c r="B64" s="495" t="s">
        <v>339</v>
      </c>
      <c r="C64" s="496" t="s">
        <v>335</v>
      </c>
      <c r="D64" s="540" t="s">
        <v>272</v>
      </c>
      <c r="E64" s="498" t="s">
        <v>338</v>
      </c>
      <c r="F64" s="499">
        <f t="shared" si="0"/>
        <v>7298</v>
      </c>
      <c r="G64" s="205">
        <v>5060</v>
      </c>
      <c r="H64" s="205">
        <v>0</v>
      </c>
      <c r="I64" s="205">
        <v>0</v>
      </c>
      <c r="J64" s="205">
        <v>2238</v>
      </c>
      <c r="K64" s="499">
        <f t="shared" si="6"/>
        <v>7247</v>
      </c>
      <c r="L64" s="205">
        <f>499955/100</f>
        <v>4999.55</v>
      </c>
      <c r="M64" s="205">
        <f>945/100</f>
        <v>9.4499999999999993</v>
      </c>
      <c r="N64" s="205">
        <v>0</v>
      </c>
      <c r="O64" s="205">
        <v>2238</v>
      </c>
      <c r="P64" s="499">
        <f t="shared" si="8"/>
        <v>6189</v>
      </c>
      <c r="Q64" s="205">
        <f>5000-23</f>
        <v>4977</v>
      </c>
      <c r="R64" s="205">
        <v>0</v>
      </c>
      <c r="S64" s="205">
        <v>0</v>
      </c>
      <c r="T64" s="206">
        <v>1212</v>
      </c>
      <c r="U64" s="297">
        <f t="shared" si="29"/>
        <v>-1109</v>
      </c>
      <c r="V64" s="205">
        <f t="shared" si="30"/>
        <v>-83</v>
      </c>
      <c r="W64" s="205">
        <f t="shared" si="31"/>
        <v>0</v>
      </c>
      <c r="X64" s="205">
        <f t="shared" si="32"/>
        <v>0</v>
      </c>
      <c r="Y64" s="206">
        <f t="shared" si="33"/>
        <v>-1026</v>
      </c>
    </row>
    <row r="65" spans="2:25" ht="15" customHeight="1" thickBot="1" x14ac:dyDescent="0.25">
      <c r="B65" s="539" t="s">
        <v>339</v>
      </c>
      <c r="C65" s="538"/>
      <c r="D65" s="537" t="s">
        <v>272</v>
      </c>
      <c r="E65" s="536" t="s">
        <v>338</v>
      </c>
      <c r="F65" s="505">
        <f t="shared" si="0"/>
        <v>7298</v>
      </c>
      <c r="G65" s="535">
        <f>SUM(G64)</f>
        <v>5060</v>
      </c>
      <c r="H65" s="535">
        <f>SUM(H64)</f>
        <v>0</v>
      </c>
      <c r="I65" s="535">
        <f>SUM(I64)</f>
        <v>0</v>
      </c>
      <c r="J65" s="535">
        <f>SUM(J64)</f>
        <v>2238</v>
      </c>
      <c r="K65" s="505">
        <f t="shared" si="6"/>
        <v>7247</v>
      </c>
      <c r="L65" s="535">
        <f t="shared" ref="L65:O65" si="49">SUM(L64)</f>
        <v>4999.55</v>
      </c>
      <c r="M65" s="535">
        <f t="shared" si="49"/>
        <v>9.4499999999999993</v>
      </c>
      <c r="N65" s="535">
        <f t="shared" si="49"/>
        <v>0</v>
      </c>
      <c r="O65" s="535">
        <f t="shared" si="49"/>
        <v>2238</v>
      </c>
      <c r="P65" s="505">
        <f t="shared" si="8"/>
        <v>6189</v>
      </c>
      <c r="Q65" s="535">
        <f t="shared" ref="Q65:T65" si="50">SUM(Q64)</f>
        <v>4977</v>
      </c>
      <c r="R65" s="535">
        <f t="shared" si="50"/>
        <v>0</v>
      </c>
      <c r="S65" s="535">
        <f t="shared" si="50"/>
        <v>0</v>
      </c>
      <c r="T65" s="534">
        <f t="shared" si="50"/>
        <v>1212</v>
      </c>
      <c r="U65" s="506">
        <f t="shared" si="29"/>
        <v>-1109</v>
      </c>
      <c r="V65" s="535">
        <f t="shared" ref="V65:Y65" si="51">SUM(V64)</f>
        <v>-83</v>
      </c>
      <c r="W65" s="535">
        <f t="shared" si="51"/>
        <v>0</v>
      </c>
      <c r="X65" s="535">
        <f t="shared" si="51"/>
        <v>0</v>
      </c>
      <c r="Y65" s="534">
        <f t="shared" si="51"/>
        <v>-1026</v>
      </c>
    </row>
    <row r="66" spans="2:25" ht="15" hidden="1" customHeight="1" thickBot="1" x14ac:dyDescent="0.25">
      <c r="B66" s="495" t="s">
        <v>337</v>
      </c>
      <c r="C66" s="496" t="s">
        <v>335</v>
      </c>
      <c r="D66" s="540" t="s">
        <v>272</v>
      </c>
      <c r="E66" s="498" t="s">
        <v>336</v>
      </c>
      <c r="F66" s="499">
        <f t="shared" si="0"/>
        <v>4324</v>
      </c>
      <c r="G66" s="205">
        <v>2859</v>
      </c>
      <c r="H66" s="205">
        <v>0</v>
      </c>
      <c r="I66" s="205">
        <v>0</v>
      </c>
      <c r="J66" s="205">
        <v>1465</v>
      </c>
      <c r="K66" s="499">
        <f t="shared" si="6"/>
        <v>4295</v>
      </c>
      <c r="L66" s="205">
        <v>2830</v>
      </c>
      <c r="M66" s="205">
        <v>0</v>
      </c>
      <c r="N66" s="205">
        <v>0</v>
      </c>
      <c r="O66" s="205">
        <v>1465</v>
      </c>
      <c r="P66" s="499">
        <f t="shared" si="8"/>
        <v>3790</v>
      </c>
      <c r="Q66" s="205">
        <f>2568-11</f>
        <v>2557</v>
      </c>
      <c r="R66" s="205">
        <v>0</v>
      </c>
      <c r="S66" s="205">
        <v>0</v>
      </c>
      <c r="T66" s="206">
        <v>1233</v>
      </c>
      <c r="U66" s="297">
        <f t="shared" si="29"/>
        <v>-534</v>
      </c>
      <c r="V66" s="205">
        <f t="shared" si="30"/>
        <v>-302</v>
      </c>
      <c r="W66" s="205">
        <f t="shared" si="31"/>
        <v>0</v>
      </c>
      <c r="X66" s="205">
        <f t="shared" si="32"/>
        <v>0</v>
      </c>
      <c r="Y66" s="206">
        <f t="shared" si="33"/>
        <v>-232</v>
      </c>
    </row>
    <row r="67" spans="2:25" ht="15" customHeight="1" thickBot="1" x14ac:dyDescent="0.25">
      <c r="B67" s="539" t="s">
        <v>337</v>
      </c>
      <c r="C67" s="538"/>
      <c r="D67" s="537" t="s">
        <v>272</v>
      </c>
      <c r="E67" s="536" t="s">
        <v>336</v>
      </c>
      <c r="F67" s="505">
        <f t="shared" si="0"/>
        <v>4324</v>
      </c>
      <c r="G67" s="535">
        <f>SUM(G66)</f>
        <v>2859</v>
      </c>
      <c r="H67" s="535">
        <f>SUM(H66)</f>
        <v>0</v>
      </c>
      <c r="I67" s="535">
        <f>SUM(I66)</f>
        <v>0</v>
      </c>
      <c r="J67" s="535">
        <f>SUM(J66)</f>
        <v>1465</v>
      </c>
      <c r="K67" s="505">
        <f t="shared" si="6"/>
        <v>4295</v>
      </c>
      <c r="L67" s="535">
        <f t="shared" ref="L67:O67" si="52">SUM(L66)</f>
        <v>2830</v>
      </c>
      <c r="M67" s="535">
        <f t="shared" si="52"/>
        <v>0</v>
      </c>
      <c r="N67" s="535">
        <f t="shared" si="52"/>
        <v>0</v>
      </c>
      <c r="O67" s="535">
        <f t="shared" si="52"/>
        <v>1465</v>
      </c>
      <c r="P67" s="505">
        <f t="shared" si="8"/>
        <v>3790</v>
      </c>
      <c r="Q67" s="535">
        <f t="shared" ref="Q67:T67" si="53">SUM(Q66)</f>
        <v>2557</v>
      </c>
      <c r="R67" s="535">
        <f t="shared" si="53"/>
        <v>0</v>
      </c>
      <c r="S67" s="535">
        <f t="shared" si="53"/>
        <v>0</v>
      </c>
      <c r="T67" s="534">
        <f t="shared" si="53"/>
        <v>1233</v>
      </c>
      <c r="U67" s="506">
        <f t="shared" si="29"/>
        <v>-534</v>
      </c>
      <c r="V67" s="535">
        <f t="shared" ref="V67:Y67" si="54">SUM(V66)</f>
        <v>-302</v>
      </c>
      <c r="W67" s="535">
        <f t="shared" si="54"/>
        <v>0</v>
      </c>
      <c r="X67" s="535">
        <f t="shared" si="54"/>
        <v>0</v>
      </c>
      <c r="Y67" s="534">
        <f t="shared" si="54"/>
        <v>-232</v>
      </c>
    </row>
    <row r="68" spans="2:25" ht="15" hidden="1" customHeight="1" thickBot="1" x14ac:dyDescent="0.25">
      <c r="B68" s="495" t="s">
        <v>334</v>
      </c>
      <c r="C68" s="496" t="s">
        <v>335</v>
      </c>
      <c r="D68" s="540" t="s">
        <v>272</v>
      </c>
      <c r="E68" s="498" t="s">
        <v>333</v>
      </c>
      <c r="F68" s="499">
        <f t="shared" si="0"/>
        <v>2395</v>
      </c>
      <c r="G68" s="205">
        <v>1620</v>
      </c>
      <c r="H68" s="205">
        <v>0</v>
      </c>
      <c r="I68" s="205">
        <v>0</v>
      </c>
      <c r="J68" s="205">
        <v>775</v>
      </c>
      <c r="K68" s="499">
        <f t="shared" si="6"/>
        <v>2379</v>
      </c>
      <c r="L68" s="205">
        <v>1604</v>
      </c>
      <c r="M68" s="205">
        <v>0</v>
      </c>
      <c r="N68" s="205">
        <v>0</v>
      </c>
      <c r="O68" s="205">
        <v>775</v>
      </c>
      <c r="P68" s="499">
        <f t="shared" si="8"/>
        <v>2151</v>
      </c>
      <c r="Q68" s="205">
        <f>1510-6</f>
        <v>1504</v>
      </c>
      <c r="R68" s="205">
        <v>0</v>
      </c>
      <c r="S68" s="205">
        <v>0</v>
      </c>
      <c r="T68" s="206">
        <v>647</v>
      </c>
      <c r="U68" s="297">
        <f t="shared" si="29"/>
        <v>-244</v>
      </c>
      <c r="V68" s="205">
        <f t="shared" si="30"/>
        <v>-116</v>
      </c>
      <c r="W68" s="205">
        <f t="shared" si="31"/>
        <v>0</v>
      </c>
      <c r="X68" s="205">
        <f t="shared" si="32"/>
        <v>0</v>
      </c>
      <c r="Y68" s="206">
        <f t="shared" si="33"/>
        <v>-128</v>
      </c>
    </row>
    <row r="69" spans="2:25" ht="15" customHeight="1" thickBot="1" x14ac:dyDescent="0.25">
      <c r="B69" s="539" t="s">
        <v>334</v>
      </c>
      <c r="C69" s="538"/>
      <c r="D69" s="537" t="s">
        <v>272</v>
      </c>
      <c r="E69" s="536" t="s">
        <v>333</v>
      </c>
      <c r="F69" s="505">
        <f t="shared" si="0"/>
        <v>2395</v>
      </c>
      <c r="G69" s="535">
        <f>SUM(G68)</f>
        <v>1620</v>
      </c>
      <c r="H69" s="535">
        <f>SUM(H68)</f>
        <v>0</v>
      </c>
      <c r="I69" s="535">
        <f>SUM(I68)</f>
        <v>0</v>
      </c>
      <c r="J69" s="535">
        <f>SUM(J68)</f>
        <v>775</v>
      </c>
      <c r="K69" s="505">
        <f t="shared" si="6"/>
        <v>2379</v>
      </c>
      <c r="L69" s="535">
        <f t="shared" ref="L69:O69" si="55">SUM(L68)</f>
        <v>1604</v>
      </c>
      <c r="M69" s="535">
        <f t="shared" si="55"/>
        <v>0</v>
      </c>
      <c r="N69" s="535">
        <f t="shared" si="55"/>
        <v>0</v>
      </c>
      <c r="O69" s="535">
        <f t="shared" si="55"/>
        <v>775</v>
      </c>
      <c r="P69" s="505">
        <f t="shared" si="8"/>
        <v>2151</v>
      </c>
      <c r="Q69" s="535">
        <f t="shared" ref="Q69:T69" si="56">SUM(Q68)</f>
        <v>1504</v>
      </c>
      <c r="R69" s="535">
        <f t="shared" si="56"/>
        <v>0</v>
      </c>
      <c r="S69" s="535">
        <f t="shared" si="56"/>
        <v>0</v>
      </c>
      <c r="T69" s="534">
        <f t="shared" si="56"/>
        <v>647</v>
      </c>
      <c r="U69" s="506">
        <f t="shared" si="29"/>
        <v>-244</v>
      </c>
      <c r="V69" s="535">
        <f t="shared" ref="V69:Y69" si="57">SUM(V68)</f>
        <v>-116</v>
      </c>
      <c r="W69" s="535">
        <f t="shared" si="57"/>
        <v>0</v>
      </c>
      <c r="X69" s="535">
        <f t="shared" si="57"/>
        <v>0</v>
      </c>
      <c r="Y69" s="534">
        <f t="shared" si="57"/>
        <v>-128</v>
      </c>
    </row>
    <row r="70" spans="2:25" ht="24.75" hidden="1" customHeight="1" thickBot="1" x14ac:dyDescent="0.25">
      <c r="B70" s="495" t="s">
        <v>332</v>
      </c>
      <c r="C70" s="496" t="s">
        <v>307</v>
      </c>
      <c r="D70" s="540" t="s">
        <v>272</v>
      </c>
      <c r="E70" s="498" t="s">
        <v>331</v>
      </c>
      <c r="F70" s="499">
        <f t="shared" si="0"/>
        <v>1902</v>
      </c>
      <c r="G70" s="205">
        <v>1655</v>
      </c>
      <c r="H70" s="205">
        <v>0</v>
      </c>
      <c r="I70" s="205">
        <v>0</v>
      </c>
      <c r="J70" s="205">
        <v>247</v>
      </c>
      <c r="K70" s="499">
        <f t="shared" si="6"/>
        <v>1885</v>
      </c>
      <c r="L70" s="205">
        <v>1638</v>
      </c>
      <c r="M70" s="205">
        <v>0</v>
      </c>
      <c r="N70" s="205">
        <v>0</v>
      </c>
      <c r="O70" s="205">
        <v>247</v>
      </c>
      <c r="P70" s="499">
        <f t="shared" si="8"/>
        <v>1815</v>
      </c>
      <c r="Q70" s="205">
        <f>1640-17</f>
        <v>1623</v>
      </c>
      <c r="R70" s="205">
        <v>0</v>
      </c>
      <c r="S70" s="205">
        <v>0</v>
      </c>
      <c r="T70" s="206">
        <v>192</v>
      </c>
      <c r="U70" s="297">
        <f t="shared" si="29"/>
        <v>-87</v>
      </c>
      <c r="V70" s="205">
        <f t="shared" si="30"/>
        <v>-32</v>
      </c>
      <c r="W70" s="205">
        <f t="shared" si="31"/>
        <v>0</v>
      </c>
      <c r="X70" s="205">
        <f t="shared" si="32"/>
        <v>0</v>
      </c>
      <c r="Y70" s="206">
        <f t="shared" si="33"/>
        <v>-55</v>
      </c>
    </row>
    <row r="71" spans="2:25" ht="24.75" hidden="1" customHeight="1" thickBot="1" x14ac:dyDescent="0.25">
      <c r="B71" s="495" t="s">
        <v>332</v>
      </c>
      <c r="C71" s="496" t="s">
        <v>277</v>
      </c>
      <c r="D71" s="540" t="s">
        <v>272</v>
      </c>
      <c r="E71" s="498" t="s">
        <v>331</v>
      </c>
      <c r="F71" s="499">
        <f t="shared" si="0"/>
        <v>588</v>
      </c>
      <c r="G71" s="205">
        <v>588</v>
      </c>
      <c r="H71" s="205">
        <v>0</v>
      </c>
      <c r="I71" s="205">
        <v>0</v>
      </c>
      <c r="J71" s="205">
        <v>0</v>
      </c>
      <c r="K71" s="499">
        <f t="shared" si="6"/>
        <v>582</v>
      </c>
      <c r="L71" s="205">
        <v>582</v>
      </c>
      <c r="M71" s="205">
        <v>0</v>
      </c>
      <c r="N71" s="205">
        <v>0</v>
      </c>
      <c r="O71" s="205">
        <v>0</v>
      </c>
      <c r="P71" s="499">
        <f t="shared" si="8"/>
        <v>300</v>
      </c>
      <c r="Q71" s="205">
        <v>300</v>
      </c>
      <c r="R71" s="205">
        <v>0</v>
      </c>
      <c r="S71" s="205">
        <v>0</v>
      </c>
      <c r="T71" s="206"/>
      <c r="U71" s="297">
        <f t="shared" si="29"/>
        <v>-288</v>
      </c>
      <c r="V71" s="205">
        <f t="shared" si="30"/>
        <v>-288</v>
      </c>
      <c r="W71" s="205">
        <f t="shared" si="31"/>
        <v>0</v>
      </c>
      <c r="X71" s="205">
        <f t="shared" si="32"/>
        <v>0</v>
      </c>
      <c r="Y71" s="206">
        <f t="shared" si="33"/>
        <v>0</v>
      </c>
    </row>
    <row r="72" spans="2:25" ht="24.75" hidden="1" customHeight="1" thickBot="1" x14ac:dyDescent="0.25">
      <c r="B72" s="495" t="s">
        <v>332</v>
      </c>
      <c r="C72" s="496" t="s">
        <v>321</v>
      </c>
      <c r="D72" s="540" t="s">
        <v>272</v>
      </c>
      <c r="E72" s="498" t="s">
        <v>331</v>
      </c>
      <c r="F72" s="499">
        <f t="shared" si="0"/>
        <v>395</v>
      </c>
      <c r="G72" s="205">
        <v>395</v>
      </c>
      <c r="H72" s="205">
        <v>0</v>
      </c>
      <c r="I72" s="205">
        <v>0</v>
      </c>
      <c r="J72" s="205">
        <v>0</v>
      </c>
      <c r="K72" s="499">
        <f t="shared" si="6"/>
        <v>391</v>
      </c>
      <c r="L72" s="205">
        <v>391</v>
      </c>
      <c r="M72" s="205">
        <v>0</v>
      </c>
      <c r="N72" s="205">
        <v>0</v>
      </c>
      <c r="O72" s="205">
        <v>0</v>
      </c>
      <c r="P72" s="499">
        <f t="shared" si="8"/>
        <v>550</v>
      </c>
      <c r="Q72" s="205">
        <v>550</v>
      </c>
      <c r="R72" s="205">
        <v>0</v>
      </c>
      <c r="S72" s="205">
        <v>0</v>
      </c>
      <c r="T72" s="206"/>
      <c r="U72" s="297">
        <f t="shared" si="29"/>
        <v>155</v>
      </c>
      <c r="V72" s="205">
        <f t="shared" si="30"/>
        <v>155</v>
      </c>
      <c r="W72" s="205">
        <f t="shared" si="31"/>
        <v>0</v>
      </c>
      <c r="X72" s="205">
        <f t="shared" si="32"/>
        <v>0</v>
      </c>
      <c r="Y72" s="206">
        <f t="shared" si="33"/>
        <v>0</v>
      </c>
    </row>
    <row r="73" spans="2:25" ht="24.75" customHeight="1" thickBot="1" x14ac:dyDescent="0.25">
      <c r="B73" s="539" t="s">
        <v>332</v>
      </c>
      <c r="C73" s="538"/>
      <c r="D73" s="537" t="s">
        <v>272</v>
      </c>
      <c r="E73" s="536" t="s">
        <v>331</v>
      </c>
      <c r="F73" s="505">
        <f t="shared" si="0"/>
        <v>2885</v>
      </c>
      <c r="G73" s="535">
        <f>SUM(G70:G72)</f>
        <v>2638</v>
      </c>
      <c r="H73" s="535">
        <f>SUM(H70:H72)</f>
        <v>0</v>
      </c>
      <c r="I73" s="535">
        <f>SUM(I70:I72)</f>
        <v>0</v>
      </c>
      <c r="J73" s="535">
        <f>SUM(J70:J72)</f>
        <v>247</v>
      </c>
      <c r="K73" s="505">
        <f t="shared" si="6"/>
        <v>2858</v>
      </c>
      <c r="L73" s="535">
        <f t="shared" ref="L73:O73" si="58">SUM(L70:L72)</f>
        <v>2611</v>
      </c>
      <c r="M73" s="535">
        <f t="shared" si="58"/>
        <v>0</v>
      </c>
      <c r="N73" s="535">
        <f t="shared" si="58"/>
        <v>0</v>
      </c>
      <c r="O73" s="535">
        <f t="shared" si="58"/>
        <v>247</v>
      </c>
      <c r="P73" s="505">
        <f t="shared" si="8"/>
        <v>2665</v>
      </c>
      <c r="Q73" s="535">
        <f t="shared" ref="Q73:T73" si="59">SUM(Q70:Q72)</f>
        <v>2473</v>
      </c>
      <c r="R73" s="535">
        <f t="shared" si="59"/>
        <v>0</v>
      </c>
      <c r="S73" s="535">
        <f t="shared" si="59"/>
        <v>0</v>
      </c>
      <c r="T73" s="534">
        <f t="shared" si="59"/>
        <v>192</v>
      </c>
      <c r="U73" s="506">
        <f t="shared" si="29"/>
        <v>-220</v>
      </c>
      <c r="V73" s="535">
        <f t="shared" ref="V73:Y73" si="60">SUM(V70:V72)</f>
        <v>-165</v>
      </c>
      <c r="W73" s="535">
        <f t="shared" si="60"/>
        <v>0</v>
      </c>
      <c r="X73" s="535">
        <f t="shared" si="60"/>
        <v>0</v>
      </c>
      <c r="Y73" s="534">
        <f t="shared" si="60"/>
        <v>-55</v>
      </c>
    </row>
    <row r="74" spans="2:25" ht="15" hidden="1" customHeight="1" thickBot="1" x14ac:dyDescent="0.25">
      <c r="B74" s="495" t="s">
        <v>330</v>
      </c>
      <c r="C74" s="496" t="s">
        <v>307</v>
      </c>
      <c r="D74" s="540" t="s">
        <v>272</v>
      </c>
      <c r="E74" s="498" t="s">
        <v>329</v>
      </c>
      <c r="F74" s="499">
        <f t="shared" si="0"/>
        <v>2636</v>
      </c>
      <c r="G74" s="205">
        <v>1532</v>
      </c>
      <c r="H74" s="205">
        <v>0</v>
      </c>
      <c r="I74" s="205">
        <v>0</v>
      </c>
      <c r="J74" s="205">
        <v>1104</v>
      </c>
      <c r="K74" s="499">
        <f t="shared" si="6"/>
        <v>2621.0100000000002</v>
      </c>
      <c r="L74" s="205">
        <f>150391/100</f>
        <v>1503.91</v>
      </c>
      <c r="M74" s="205">
        <f>1310/100</f>
        <v>13.1</v>
      </c>
      <c r="N74" s="205">
        <v>0</v>
      </c>
      <c r="O74" s="205">
        <v>1104</v>
      </c>
      <c r="P74" s="499">
        <f t="shared" si="8"/>
        <v>3107</v>
      </c>
      <c r="Q74" s="205">
        <v>1441</v>
      </c>
      <c r="R74" s="205">
        <v>0</v>
      </c>
      <c r="S74" s="205">
        <v>0</v>
      </c>
      <c r="T74" s="206">
        <v>1666</v>
      </c>
      <c r="U74" s="297">
        <f t="shared" si="29"/>
        <v>471</v>
      </c>
      <c r="V74" s="205">
        <f t="shared" si="30"/>
        <v>-91</v>
      </c>
      <c r="W74" s="205">
        <f t="shared" si="31"/>
        <v>0</v>
      </c>
      <c r="X74" s="205">
        <f t="shared" si="32"/>
        <v>0</v>
      </c>
      <c r="Y74" s="206">
        <f t="shared" si="33"/>
        <v>562</v>
      </c>
    </row>
    <row r="75" spans="2:25" ht="15" customHeight="1" thickBot="1" x14ac:dyDescent="0.25">
      <c r="B75" s="539" t="s">
        <v>330</v>
      </c>
      <c r="C75" s="538"/>
      <c r="D75" s="537" t="s">
        <v>272</v>
      </c>
      <c r="E75" s="536" t="s">
        <v>329</v>
      </c>
      <c r="F75" s="505">
        <f t="shared" si="0"/>
        <v>2636</v>
      </c>
      <c r="G75" s="535">
        <f>SUM(G74)</f>
        <v>1532</v>
      </c>
      <c r="H75" s="535">
        <f>SUM(H74)</f>
        <v>0</v>
      </c>
      <c r="I75" s="535">
        <f>SUM(I74)</f>
        <v>0</v>
      </c>
      <c r="J75" s="535">
        <f>SUM(J74)</f>
        <v>1104</v>
      </c>
      <c r="K75" s="505">
        <f t="shared" si="6"/>
        <v>2621.0100000000002</v>
      </c>
      <c r="L75" s="535">
        <f t="shared" ref="L75:O75" si="61">SUM(L74)</f>
        <v>1503.91</v>
      </c>
      <c r="M75" s="535">
        <f t="shared" si="61"/>
        <v>13.1</v>
      </c>
      <c r="N75" s="535">
        <f t="shared" si="61"/>
        <v>0</v>
      </c>
      <c r="O75" s="535">
        <f t="shared" si="61"/>
        <v>1104</v>
      </c>
      <c r="P75" s="505">
        <f t="shared" si="8"/>
        <v>3107</v>
      </c>
      <c r="Q75" s="535">
        <f t="shared" ref="Q75:T75" si="62">SUM(Q74)</f>
        <v>1441</v>
      </c>
      <c r="R75" s="535">
        <f t="shared" si="62"/>
        <v>0</v>
      </c>
      <c r="S75" s="535">
        <f t="shared" si="62"/>
        <v>0</v>
      </c>
      <c r="T75" s="534">
        <f t="shared" si="62"/>
        <v>1666</v>
      </c>
      <c r="U75" s="506">
        <f t="shared" si="29"/>
        <v>471</v>
      </c>
      <c r="V75" s="535">
        <f t="shared" ref="V75:Y75" si="63">SUM(V74)</f>
        <v>-91</v>
      </c>
      <c r="W75" s="535">
        <f t="shared" si="63"/>
        <v>0</v>
      </c>
      <c r="X75" s="535">
        <f t="shared" si="63"/>
        <v>0</v>
      </c>
      <c r="Y75" s="534">
        <f t="shared" si="63"/>
        <v>562</v>
      </c>
    </row>
    <row r="76" spans="2:25" ht="15" hidden="1" customHeight="1" thickBot="1" x14ac:dyDescent="0.25">
      <c r="B76" s="495" t="s">
        <v>328</v>
      </c>
      <c r="C76" s="496" t="s">
        <v>307</v>
      </c>
      <c r="D76" s="540" t="s">
        <v>272</v>
      </c>
      <c r="E76" s="498" t="s">
        <v>327</v>
      </c>
      <c r="F76" s="499">
        <f t="shared" si="0"/>
        <v>2149</v>
      </c>
      <c r="G76" s="205">
        <v>1310</v>
      </c>
      <c r="H76" s="205">
        <v>0</v>
      </c>
      <c r="I76" s="205">
        <v>0</v>
      </c>
      <c r="J76" s="205">
        <v>839</v>
      </c>
      <c r="K76" s="499">
        <f t="shared" si="6"/>
        <v>2136</v>
      </c>
      <c r="L76" s="205">
        <v>1297</v>
      </c>
      <c r="M76" s="205">
        <v>0</v>
      </c>
      <c r="N76" s="205">
        <v>0</v>
      </c>
      <c r="O76" s="205">
        <v>839</v>
      </c>
      <c r="P76" s="499">
        <f t="shared" si="8"/>
        <v>2565</v>
      </c>
      <c r="Q76" s="205">
        <v>1141</v>
      </c>
      <c r="R76" s="205">
        <v>0</v>
      </c>
      <c r="S76" s="205">
        <v>0</v>
      </c>
      <c r="T76" s="206">
        <v>1424</v>
      </c>
      <c r="U76" s="297">
        <f t="shared" si="29"/>
        <v>416</v>
      </c>
      <c r="V76" s="205">
        <f t="shared" si="30"/>
        <v>-169</v>
      </c>
      <c r="W76" s="205">
        <f t="shared" si="31"/>
        <v>0</v>
      </c>
      <c r="X76" s="205">
        <f t="shared" si="32"/>
        <v>0</v>
      </c>
      <c r="Y76" s="206">
        <f t="shared" si="33"/>
        <v>585</v>
      </c>
    </row>
    <row r="77" spans="2:25" ht="15" hidden="1" customHeight="1" thickBot="1" x14ac:dyDescent="0.25">
      <c r="B77" s="495" t="s">
        <v>328</v>
      </c>
      <c r="C77" s="496" t="s">
        <v>302</v>
      </c>
      <c r="D77" s="540" t="s">
        <v>272</v>
      </c>
      <c r="E77" s="498" t="s">
        <v>327</v>
      </c>
      <c r="F77" s="499">
        <f t="shared" si="0"/>
        <v>3914</v>
      </c>
      <c r="G77" s="205">
        <v>3670</v>
      </c>
      <c r="H77" s="205">
        <v>0</v>
      </c>
      <c r="I77" s="205">
        <v>0</v>
      </c>
      <c r="J77" s="205">
        <v>244</v>
      </c>
      <c r="K77" s="499">
        <f t="shared" si="6"/>
        <v>3877</v>
      </c>
      <c r="L77" s="205">
        <v>3633</v>
      </c>
      <c r="M77" s="205">
        <v>0</v>
      </c>
      <c r="N77" s="205">
        <v>0</v>
      </c>
      <c r="O77" s="205">
        <v>244</v>
      </c>
      <c r="P77" s="499">
        <f t="shared" si="8"/>
        <v>3514</v>
      </c>
      <c r="Q77" s="205">
        <v>3514</v>
      </c>
      <c r="R77" s="205">
        <v>0</v>
      </c>
      <c r="S77" s="205">
        <v>0</v>
      </c>
      <c r="T77" s="206"/>
      <c r="U77" s="297">
        <f t="shared" si="29"/>
        <v>-400</v>
      </c>
      <c r="V77" s="205">
        <f t="shared" si="30"/>
        <v>-156</v>
      </c>
      <c r="W77" s="205">
        <f t="shared" si="31"/>
        <v>0</v>
      </c>
      <c r="X77" s="205">
        <f t="shared" si="32"/>
        <v>0</v>
      </c>
      <c r="Y77" s="206">
        <f t="shared" si="33"/>
        <v>-244</v>
      </c>
    </row>
    <row r="78" spans="2:25" ht="15" hidden="1" customHeight="1" thickBot="1" x14ac:dyDescent="0.25">
      <c r="B78" s="495" t="s">
        <v>328</v>
      </c>
      <c r="C78" s="496" t="s">
        <v>277</v>
      </c>
      <c r="D78" s="540" t="s">
        <v>272</v>
      </c>
      <c r="E78" s="498" t="s">
        <v>327</v>
      </c>
      <c r="F78" s="499">
        <f t="shared" si="0"/>
        <v>991</v>
      </c>
      <c r="G78" s="205">
        <v>850</v>
      </c>
      <c r="H78" s="205">
        <v>0</v>
      </c>
      <c r="I78" s="205">
        <v>0</v>
      </c>
      <c r="J78" s="205">
        <v>141</v>
      </c>
      <c r="K78" s="499">
        <f t="shared" si="6"/>
        <v>982</v>
      </c>
      <c r="L78" s="205">
        <v>841</v>
      </c>
      <c r="M78" s="205">
        <v>0</v>
      </c>
      <c r="N78" s="205">
        <v>0</v>
      </c>
      <c r="O78" s="205">
        <v>141</v>
      </c>
      <c r="P78" s="499">
        <f t="shared" si="8"/>
        <v>850</v>
      </c>
      <c r="Q78" s="205">
        <v>850</v>
      </c>
      <c r="R78" s="205">
        <v>0</v>
      </c>
      <c r="S78" s="205">
        <v>0</v>
      </c>
      <c r="T78" s="206"/>
      <c r="U78" s="297">
        <f t="shared" si="29"/>
        <v>-141</v>
      </c>
      <c r="V78" s="205">
        <f t="shared" si="30"/>
        <v>0</v>
      </c>
      <c r="W78" s="205">
        <f t="shared" si="31"/>
        <v>0</v>
      </c>
      <c r="X78" s="205">
        <f t="shared" si="32"/>
        <v>0</v>
      </c>
      <c r="Y78" s="206">
        <f t="shared" si="33"/>
        <v>-141</v>
      </c>
    </row>
    <row r="79" spans="2:25" ht="15" hidden="1" customHeight="1" thickBot="1" x14ac:dyDescent="0.25">
      <c r="B79" s="495" t="s">
        <v>328</v>
      </c>
      <c r="C79" s="496" t="s">
        <v>301</v>
      </c>
      <c r="D79" s="540" t="s">
        <v>272</v>
      </c>
      <c r="E79" s="498" t="s">
        <v>327</v>
      </c>
      <c r="F79" s="499">
        <f t="shared" si="0"/>
        <v>691</v>
      </c>
      <c r="G79" s="205">
        <v>670</v>
      </c>
      <c r="H79" s="205">
        <v>0</v>
      </c>
      <c r="I79" s="205">
        <v>0</v>
      </c>
      <c r="J79" s="205">
        <v>21</v>
      </c>
      <c r="K79" s="499">
        <f t="shared" si="6"/>
        <v>684</v>
      </c>
      <c r="L79" s="205">
        <v>663</v>
      </c>
      <c r="M79" s="205">
        <v>0</v>
      </c>
      <c r="N79" s="205">
        <v>0</v>
      </c>
      <c r="O79" s="205">
        <v>21</v>
      </c>
      <c r="P79" s="499">
        <f t="shared" si="8"/>
        <v>670</v>
      </c>
      <c r="Q79" s="205">
        <v>670</v>
      </c>
      <c r="R79" s="205">
        <v>0</v>
      </c>
      <c r="S79" s="205">
        <v>0</v>
      </c>
      <c r="T79" s="206"/>
      <c r="U79" s="297">
        <f t="shared" si="29"/>
        <v>-21</v>
      </c>
      <c r="V79" s="205">
        <f t="shared" si="30"/>
        <v>0</v>
      </c>
      <c r="W79" s="205">
        <f t="shared" si="31"/>
        <v>0</v>
      </c>
      <c r="X79" s="205">
        <f t="shared" si="32"/>
        <v>0</v>
      </c>
      <c r="Y79" s="206">
        <f t="shared" si="33"/>
        <v>-21</v>
      </c>
    </row>
    <row r="80" spans="2:25" ht="15" customHeight="1" thickBot="1" x14ac:dyDescent="0.25">
      <c r="B80" s="539" t="s">
        <v>328</v>
      </c>
      <c r="C80" s="538"/>
      <c r="D80" s="537" t="s">
        <v>272</v>
      </c>
      <c r="E80" s="536" t="s">
        <v>327</v>
      </c>
      <c r="F80" s="505">
        <f t="shared" ref="F80:F143" si="64">SUM(G80:J80)</f>
        <v>7745</v>
      </c>
      <c r="G80" s="535">
        <f>SUM(G76:G79)</f>
        <v>6500</v>
      </c>
      <c r="H80" s="535">
        <f>SUM(H76:H79)</f>
        <v>0</v>
      </c>
      <c r="I80" s="535">
        <f>SUM(I76:I79)</f>
        <v>0</v>
      </c>
      <c r="J80" s="535">
        <f>SUM(J76:J79)</f>
        <v>1245</v>
      </c>
      <c r="K80" s="505">
        <f t="shared" si="6"/>
        <v>7679</v>
      </c>
      <c r="L80" s="535">
        <f t="shared" ref="L80:O80" si="65">SUM(L76:L79)</f>
        <v>6434</v>
      </c>
      <c r="M80" s="535">
        <f t="shared" si="65"/>
        <v>0</v>
      </c>
      <c r="N80" s="535">
        <f t="shared" si="65"/>
        <v>0</v>
      </c>
      <c r="O80" s="535">
        <f t="shared" si="65"/>
        <v>1245</v>
      </c>
      <c r="P80" s="505">
        <f t="shared" si="8"/>
        <v>7599</v>
      </c>
      <c r="Q80" s="535">
        <f t="shared" ref="Q80:T80" si="66">SUM(Q76:Q79)</f>
        <v>6175</v>
      </c>
      <c r="R80" s="535">
        <f t="shared" si="66"/>
        <v>0</v>
      </c>
      <c r="S80" s="535">
        <f t="shared" si="66"/>
        <v>0</v>
      </c>
      <c r="T80" s="534">
        <f t="shared" si="66"/>
        <v>1424</v>
      </c>
      <c r="U80" s="506">
        <f t="shared" si="29"/>
        <v>-146</v>
      </c>
      <c r="V80" s="535">
        <f t="shared" ref="V80:Y80" si="67">SUM(V76:V79)</f>
        <v>-325</v>
      </c>
      <c r="W80" s="535">
        <f t="shared" si="67"/>
        <v>0</v>
      </c>
      <c r="X80" s="535">
        <f t="shared" si="67"/>
        <v>0</v>
      </c>
      <c r="Y80" s="534">
        <f t="shared" si="67"/>
        <v>179</v>
      </c>
    </row>
    <row r="81" spans="2:25" ht="24.75" hidden="1" customHeight="1" thickBot="1" x14ac:dyDescent="0.25">
      <c r="B81" s="495" t="s">
        <v>325</v>
      </c>
      <c r="C81" s="496" t="s">
        <v>307</v>
      </c>
      <c r="D81" s="540" t="s">
        <v>272</v>
      </c>
      <c r="E81" s="498" t="s">
        <v>324</v>
      </c>
      <c r="F81" s="499">
        <f t="shared" si="64"/>
        <v>2026</v>
      </c>
      <c r="G81" s="546">
        <v>1615</v>
      </c>
      <c r="H81" s="546">
        <v>0</v>
      </c>
      <c r="I81" s="546">
        <v>0</v>
      </c>
      <c r="J81" s="546">
        <v>411</v>
      </c>
      <c r="K81" s="499">
        <f t="shared" si="6"/>
        <v>2010</v>
      </c>
      <c r="L81" s="546">
        <v>1599</v>
      </c>
      <c r="M81" s="546">
        <v>0</v>
      </c>
      <c r="N81" s="546">
        <v>0</v>
      </c>
      <c r="O81" s="546">
        <v>411</v>
      </c>
      <c r="P81" s="499">
        <f t="shared" si="8"/>
        <v>0</v>
      </c>
      <c r="Q81" s="545"/>
      <c r="R81" s="545"/>
      <c r="S81" s="545"/>
      <c r="T81" s="544"/>
      <c r="U81" s="297">
        <f t="shared" ref="U81:U111" si="68">SUM(V81:Y81)</f>
        <v>-2026</v>
      </c>
      <c r="V81" s="205">
        <f t="shared" ref="V81:V111" si="69">Q81-G81</f>
        <v>-1615</v>
      </c>
      <c r="W81" s="205">
        <f t="shared" ref="W81:W111" si="70">R81-H81</f>
        <v>0</v>
      </c>
      <c r="X81" s="205">
        <f t="shared" ref="X81:X111" si="71">S81-I81</f>
        <v>0</v>
      </c>
      <c r="Y81" s="206">
        <f t="shared" ref="Y81:Y111" si="72">T81-J81</f>
        <v>-411</v>
      </c>
    </row>
    <row r="82" spans="2:25" ht="24.75" hidden="1" customHeight="1" thickBot="1" x14ac:dyDescent="0.25">
      <c r="B82" s="495" t="s">
        <v>325</v>
      </c>
      <c r="C82" s="496" t="s">
        <v>302</v>
      </c>
      <c r="D82" s="540" t="s">
        <v>272</v>
      </c>
      <c r="E82" s="498" t="s">
        <v>324</v>
      </c>
      <c r="F82" s="499">
        <f t="shared" si="64"/>
        <v>2717</v>
      </c>
      <c r="G82" s="205">
        <v>1985</v>
      </c>
      <c r="H82" s="205">
        <v>0</v>
      </c>
      <c r="I82" s="205">
        <v>0</v>
      </c>
      <c r="J82" s="205">
        <v>732</v>
      </c>
      <c r="K82" s="499">
        <f t="shared" ref="K82:K145" si="73">SUM(L82:O82)</f>
        <v>2697.01</v>
      </c>
      <c r="L82" s="205">
        <f>195218/100</f>
        <v>1952.18</v>
      </c>
      <c r="M82" s="205">
        <f>1283/100</f>
        <v>12.83</v>
      </c>
      <c r="N82" s="205">
        <v>0</v>
      </c>
      <c r="O82" s="205">
        <v>732</v>
      </c>
      <c r="P82" s="499">
        <f t="shared" ref="P82:P145" si="74">SUM(Q82:T82)</f>
        <v>7524</v>
      </c>
      <c r="Q82" s="205">
        <v>6160</v>
      </c>
      <c r="R82" s="205">
        <v>0</v>
      </c>
      <c r="S82" s="205">
        <v>0</v>
      </c>
      <c r="T82" s="206">
        <v>1364</v>
      </c>
      <c r="U82" s="297">
        <f t="shared" si="68"/>
        <v>4807</v>
      </c>
      <c r="V82" s="205">
        <f t="shared" si="69"/>
        <v>4175</v>
      </c>
      <c r="W82" s="205">
        <f t="shared" si="70"/>
        <v>0</v>
      </c>
      <c r="X82" s="205">
        <f t="shared" si="71"/>
        <v>0</v>
      </c>
      <c r="Y82" s="206">
        <f t="shared" si="72"/>
        <v>632</v>
      </c>
    </row>
    <row r="83" spans="2:25" ht="24.75" hidden="1" customHeight="1" thickBot="1" x14ac:dyDescent="0.25">
      <c r="B83" s="495" t="s">
        <v>325</v>
      </c>
      <c r="C83" s="496" t="s">
        <v>326</v>
      </c>
      <c r="D83" s="540" t="s">
        <v>272</v>
      </c>
      <c r="E83" s="498" t="s">
        <v>324</v>
      </c>
      <c r="F83" s="499">
        <f t="shared" si="64"/>
        <v>782</v>
      </c>
      <c r="G83" s="542">
        <v>600</v>
      </c>
      <c r="H83" s="542">
        <v>0</v>
      </c>
      <c r="I83" s="542">
        <v>0</v>
      </c>
      <c r="J83" s="542">
        <v>182</v>
      </c>
      <c r="K83" s="499">
        <f t="shared" si="73"/>
        <v>776</v>
      </c>
      <c r="L83" s="542">
        <v>594</v>
      </c>
      <c r="M83" s="542">
        <v>0</v>
      </c>
      <c r="N83" s="542">
        <v>0</v>
      </c>
      <c r="O83" s="542">
        <v>182</v>
      </c>
      <c r="P83" s="499">
        <f t="shared" si="74"/>
        <v>0</v>
      </c>
      <c r="Q83" s="542"/>
      <c r="R83" s="542"/>
      <c r="S83" s="542"/>
      <c r="T83" s="541"/>
      <c r="U83" s="297">
        <f t="shared" si="68"/>
        <v>-782</v>
      </c>
      <c r="V83" s="205">
        <f t="shared" si="69"/>
        <v>-600</v>
      </c>
      <c r="W83" s="205">
        <f t="shared" si="70"/>
        <v>0</v>
      </c>
      <c r="X83" s="205">
        <f t="shared" si="71"/>
        <v>0</v>
      </c>
      <c r="Y83" s="206">
        <f t="shared" si="72"/>
        <v>-182</v>
      </c>
    </row>
    <row r="84" spans="2:25" ht="24.75" hidden="1" customHeight="1" thickBot="1" x14ac:dyDescent="0.25">
      <c r="B84" s="495" t="s">
        <v>325</v>
      </c>
      <c r="C84" s="496" t="s">
        <v>277</v>
      </c>
      <c r="D84" s="540" t="s">
        <v>272</v>
      </c>
      <c r="E84" s="498" t="s">
        <v>324</v>
      </c>
      <c r="F84" s="499">
        <f t="shared" si="64"/>
        <v>1639</v>
      </c>
      <c r="G84" s="542">
        <v>1577</v>
      </c>
      <c r="H84" s="542">
        <v>0</v>
      </c>
      <c r="I84" s="542">
        <v>0</v>
      </c>
      <c r="J84" s="542">
        <v>62</v>
      </c>
      <c r="K84" s="499">
        <f t="shared" si="73"/>
        <v>1623</v>
      </c>
      <c r="L84" s="542">
        <v>1561</v>
      </c>
      <c r="M84" s="542">
        <v>0</v>
      </c>
      <c r="N84" s="542">
        <v>0</v>
      </c>
      <c r="O84" s="542">
        <v>62</v>
      </c>
      <c r="P84" s="499">
        <f t="shared" si="74"/>
        <v>0</v>
      </c>
      <c r="Q84" s="542"/>
      <c r="R84" s="542"/>
      <c r="S84" s="542"/>
      <c r="T84" s="541"/>
      <c r="U84" s="297">
        <f t="shared" si="68"/>
        <v>-1639</v>
      </c>
      <c r="V84" s="205">
        <f t="shared" si="69"/>
        <v>-1577</v>
      </c>
      <c r="W84" s="205">
        <f t="shared" si="70"/>
        <v>0</v>
      </c>
      <c r="X84" s="205">
        <f t="shared" si="71"/>
        <v>0</v>
      </c>
      <c r="Y84" s="206">
        <f t="shared" si="72"/>
        <v>-62</v>
      </c>
    </row>
    <row r="85" spans="2:25" ht="24.75" hidden="1" customHeight="1" thickBot="1" x14ac:dyDescent="0.25">
      <c r="B85" s="495" t="s">
        <v>325</v>
      </c>
      <c r="C85" s="496" t="s">
        <v>301</v>
      </c>
      <c r="D85" s="540" t="s">
        <v>272</v>
      </c>
      <c r="E85" s="498" t="s">
        <v>324</v>
      </c>
      <c r="F85" s="499">
        <f t="shared" si="64"/>
        <v>1005</v>
      </c>
      <c r="G85" s="542">
        <v>618</v>
      </c>
      <c r="H85" s="542">
        <v>0</v>
      </c>
      <c r="I85" s="542">
        <v>0</v>
      </c>
      <c r="J85" s="542">
        <v>387</v>
      </c>
      <c r="K85" s="499">
        <f t="shared" si="73"/>
        <v>999</v>
      </c>
      <c r="L85" s="542">
        <v>612</v>
      </c>
      <c r="M85" s="542">
        <v>0</v>
      </c>
      <c r="N85" s="542">
        <v>0</v>
      </c>
      <c r="O85" s="542">
        <v>387</v>
      </c>
      <c r="P85" s="499">
        <f t="shared" si="74"/>
        <v>0</v>
      </c>
      <c r="Q85" s="542"/>
      <c r="R85" s="542"/>
      <c r="S85" s="542"/>
      <c r="T85" s="541"/>
      <c r="U85" s="297">
        <f t="shared" si="68"/>
        <v>-1005</v>
      </c>
      <c r="V85" s="205">
        <f t="shared" si="69"/>
        <v>-618</v>
      </c>
      <c r="W85" s="205">
        <f t="shared" si="70"/>
        <v>0</v>
      </c>
      <c r="X85" s="205">
        <f t="shared" si="71"/>
        <v>0</v>
      </c>
      <c r="Y85" s="206">
        <f t="shared" si="72"/>
        <v>-387</v>
      </c>
    </row>
    <row r="86" spans="2:25" ht="24.75" customHeight="1" thickBot="1" x14ac:dyDescent="0.25">
      <c r="B86" s="539" t="s">
        <v>325</v>
      </c>
      <c r="C86" s="538"/>
      <c r="D86" s="537" t="s">
        <v>272</v>
      </c>
      <c r="E86" s="543" t="s">
        <v>324</v>
      </c>
      <c r="F86" s="505">
        <f t="shared" si="64"/>
        <v>8169</v>
      </c>
      <c r="G86" s="535">
        <f>SUM(G81:G85)</f>
        <v>6395</v>
      </c>
      <c r="H86" s="535">
        <f>SUM(H81:H85)</f>
        <v>0</v>
      </c>
      <c r="I86" s="535">
        <f>SUM(I81:I85)</f>
        <v>0</v>
      </c>
      <c r="J86" s="535">
        <f>SUM(J81:J85)</f>
        <v>1774</v>
      </c>
      <c r="K86" s="505">
        <f t="shared" si="73"/>
        <v>8105.01</v>
      </c>
      <c r="L86" s="535">
        <f t="shared" ref="L86:O86" si="75">SUM(L81:L85)</f>
        <v>6318.18</v>
      </c>
      <c r="M86" s="535">
        <f t="shared" si="75"/>
        <v>12.83</v>
      </c>
      <c r="N86" s="535">
        <f t="shared" si="75"/>
        <v>0</v>
      </c>
      <c r="O86" s="535">
        <f t="shared" si="75"/>
        <v>1774</v>
      </c>
      <c r="P86" s="505">
        <f t="shared" si="74"/>
        <v>7524</v>
      </c>
      <c r="Q86" s="535">
        <f t="shared" ref="Q86:T86" si="76">SUM(Q81:Q85)</f>
        <v>6160</v>
      </c>
      <c r="R86" s="535">
        <f t="shared" si="76"/>
        <v>0</v>
      </c>
      <c r="S86" s="535">
        <f t="shared" si="76"/>
        <v>0</v>
      </c>
      <c r="T86" s="534">
        <f t="shared" si="76"/>
        <v>1364</v>
      </c>
      <c r="U86" s="506">
        <f t="shared" si="68"/>
        <v>-645</v>
      </c>
      <c r="V86" s="535">
        <f t="shared" ref="V86:Y86" si="77">SUM(V81:V85)</f>
        <v>-235</v>
      </c>
      <c r="W86" s="535">
        <f t="shared" si="77"/>
        <v>0</v>
      </c>
      <c r="X86" s="535">
        <f t="shared" si="77"/>
        <v>0</v>
      </c>
      <c r="Y86" s="534">
        <f t="shared" si="77"/>
        <v>-410</v>
      </c>
    </row>
    <row r="87" spans="2:25" ht="15" hidden="1" customHeight="1" thickBot="1" x14ac:dyDescent="0.25">
      <c r="B87" s="495" t="s">
        <v>323</v>
      </c>
      <c r="C87" s="496" t="s">
        <v>307</v>
      </c>
      <c r="D87" s="540" t="s">
        <v>272</v>
      </c>
      <c r="E87" s="498" t="s">
        <v>322</v>
      </c>
      <c r="F87" s="499">
        <f t="shared" si="64"/>
        <v>3119</v>
      </c>
      <c r="G87" s="205">
        <v>2606</v>
      </c>
      <c r="H87" s="205">
        <v>0</v>
      </c>
      <c r="I87" s="205">
        <v>0</v>
      </c>
      <c r="J87" s="205">
        <v>513</v>
      </c>
      <c r="K87" s="499">
        <f t="shared" si="73"/>
        <v>3093</v>
      </c>
      <c r="L87" s="205">
        <v>2580</v>
      </c>
      <c r="M87" s="205">
        <v>0</v>
      </c>
      <c r="N87" s="205">
        <v>0</v>
      </c>
      <c r="O87" s="205">
        <v>513</v>
      </c>
      <c r="P87" s="499">
        <f t="shared" si="74"/>
        <v>2794</v>
      </c>
      <c r="Q87" s="205">
        <v>2434</v>
      </c>
      <c r="R87" s="205">
        <v>0</v>
      </c>
      <c r="S87" s="205">
        <v>0</v>
      </c>
      <c r="T87" s="206">
        <v>360</v>
      </c>
      <c r="U87" s="297">
        <f t="shared" si="68"/>
        <v>-325</v>
      </c>
      <c r="V87" s="205">
        <f t="shared" si="69"/>
        <v>-172</v>
      </c>
      <c r="W87" s="205">
        <f t="shared" si="70"/>
        <v>0</v>
      </c>
      <c r="X87" s="205">
        <f t="shared" si="71"/>
        <v>0</v>
      </c>
      <c r="Y87" s="206">
        <f t="shared" si="72"/>
        <v>-153</v>
      </c>
    </row>
    <row r="88" spans="2:25" ht="15" hidden="1" customHeight="1" thickBot="1" x14ac:dyDescent="0.25">
      <c r="B88" s="495" t="s">
        <v>323</v>
      </c>
      <c r="C88" s="496" t="s">
        <v>277</v>
      </c>
      <c r="D88" s="540" t="s">
        <v>272</v>
      </c>
      <c r="E88" s="498" t="s">
        <v>322</v>
      </c>
      <c r="F88" s="499">
        <f t="shared" si="64"/>
        <v>350</v>
      </c>
      <c r="G88" s="205">
        <v>350</v>
      </c>
      <c r="H88" s="205">
        <v>0</v>
      </c>
      <c r="I88" s="205">
        <v>0</v>
      </c>
      <c r="J88" s="205">
        <v>0</v>
      </c>
      <c r="K88" s="499">
        <f t="shared" si="73"/>
        <v>329</v>
      </c>
      <c r="L88" s="205">
        <v>329</v>
      </c>
      <c r="M88" s="205">
        <v>0</v>
      </c>
      <c r="N88" s="205">
        <v>0</v>
      </c>
      <c r="O88" s="205">
        <v>0</v>
      </c>
      <c r="P88" s="499">
        <f t="shared" si="74"/>
        <v>329</v>
      </c>
      <c r="Q88" s="205">
        <v>329</v>
      </c>
      <c r="R88" s="205">
        <v>0</v>
      </c>
      <c r="S88" s="205">
        <v>0</v>
      </c>
      <c r="T88" s="206"/>
      <c r="U88" s="297">
        <f t="shared" si="68"/>
        <v>-21</v>
      </c>
      <c r="V88" s="205">
        <f t="shared" si="69"/>
        <v>-21</v>
      </c>
      <c r="W88" s="205">
        <f t="shared" si="70"/>
        <v>0</v>
      </c>
      <c r="X88" s="205">
        <f t="shared" si="71"/>
        <v>0</v>
      </c>
      <c r="Y88" s="206">
        <f t="shared" si="72"/>
        <v>0</v>
      </c>
    </row>
    <row r="89" spans="2:25" ht="15" customHeight="1" thickBot="1" x14ac:dyDescent="0.25">
      <c r="B89" s="539" t="s">
        <v>323</v>
      </c>
      <c r="C89" s="538"/>
      <c r="D89" s="537" t="s">
        <v>272</v>
      </c>
      <c r="E89" s="536" t="s">
        <v>322</v>
      </c>
      <c r="F89" s="505">
        <f t="shared" si="64"/>
        <v>3469</v>
      </c>
      <c r="G89" s="535">
        <f>SUM(G87:G88)</f>
        <v>2956</v>
      </c>
      <c r="H89" s="535">
        <f>SUM(H87:H88)</f>
        <v>0</v>
      </c>
      <c r="I89" s="535">
        <f>SUM(I87:I88)</f>
        <v>0</v>
      </c>
      <c r="J89" s="535">
        <f>SUM(J87:J88)</f>
        <v>513</v>
      </c>
      <c r="K89" s="505">
        <f t="shared" si="73"/>
        <v>3422</v>
      </c>
      <c r="L89" s="535">
        <f t="shared" ref="L89:O89" si="78">SUM(L87:L88)</f>
        <v>2909</v>
      </c>
      <c r="M89" s="535">
        <f t="shared" si="78"/>
        <v>0</v>
      </c>
      <c r="N89" s="535">
        <f t="shared" si="78"/>
        <v>0</v>
      </c>
      <c r="O89" s="535">
        <f t="shared" si="78"/>
        <v>513</v>
      </c>
      <c r="P89" s="505">
        <f t="shared" si="74"/>
        <v>3123</v>
      </c>
      <c r="Q89" s="535">
        <f t="shared" ref="Q89:T89" si="79">SUM(Q87:Q88)</f>
        <v>2763</v>
      </c>
      <c r="R89" s="535">
        <f t="shared" si="79"/>
        <v>0</v>
      </c>
      <c r="S89" s="535">
        <f t="shared" si="79"/>
        <v>0</v>
      </c>
      <c r="T89" s="534">
        <f t="shared" si="79"/>
        <v>360</v>
      </c>
      <c r="U89" s="506">
        <f t="shared" si="68"/>
        <v>-346</v>
      </c>
      <c r="V89" s="535">
        <f t="shared" ref="V89:Y89" si="80">SUM(V87:V88)</f>
        <v>-193</v>
      </c>
      <c r="W89" s="535">
        <f t="shared" si="80"/>
        <v>0</v>
      </c>
      <c r="X89" s="535">
        <f t="shared" si="80"/>
        <v>0</v>
      </c>
      <c r="Y89" s="534">
        <f t="shared" si="80"/>
        <v>-153</v>
      </c>
    </row>
    <row r="90" spans="2:25" ht="15" hidden="1" customHeight="1" thickBot="1" x14ac:dyDescent="0.25">
      <c r="B90" s="495" t="s">
        <v>319</v>
      </c>
      <c r="C90" s="496" t="s">
        <v>307</v>
      </c>
      <c r="D90" s="540" t="s">
        <v>272</v>
      </c>
      <c r="E90" s="498" t="s">
        <v>318</v>
      </c>
      <c r="F90" s="499">
        <f t="shared" si="64"/>
        <v>4048</v>
      </c>
      <c r="G90" s="205">
        <v>2600</v>
      </c>
      <c r="H90" s="205">
        <v>0</v>
      </c>
      <c r="I90" s="205">
        <v>0</v>
      </c>
      <c r="J90" s="205">
        <v>1448</v>
      </c>
      <c r="K90" s="499">
        <f t="shared" si="73"/>
        <v>4022</v>
      </c>
      <c r="L90" s="205">
        <v>2574</v>
      </c>
      <c r="M90" s="205">
        <v>0</v>
      </c>
      <c r="N90" s="205">
        <v>0</v>
      </c>
      <c r="O90" s="205">
        <v>1448</v>
      </c>
      <c r="P90" s="499">
        <f t="shared" si="74"/>
        <v>2898</v>
      </c>
      <c r="Q90" s="205">
        <f>1903-29</f>
        <v>1874</v>
      </c>
      <c r="R90" s="205">
        <v>0</v>
      </c>
      <c r="S90" s="205">
        <v>0</v>
      </c>
      <c r="T90" s="206">
        <v>1024</v>
      </c>
      <c r="U90" s="297">
        <f t="shared" si="68"/>
        <v>-1150</v>
      </c>
      <c r="V90" s="205">
        <f t="shared" si="69"/>
        <v>-726</v>
      </c>
      <c r="W90" s="205">
        <f t="shared" si="70"/>
        <v>0</v>
      </c>
      <c r="X90" s="205">
        <f t="shared" si="71"/>
        <v>0</v>
      </c>
      <c r="Y90" s="206">
        <f t="shared" si="72"/>
        <v>-424</v>
      </c>
    </row>
    <row r="91" spans="2:25" ht="15" hidden="1" customHeight="1" thickBot="1" x14ac:dyDescent="0.25">
      <c r="B91" s="495" t="s">
        <v>319</v>
      </c>
      <c r="C91" s="496" t="s">
        <v>277</v>
      </c>
      <c r="D91" s="540" t="s">
        <v>272</v>
      </c>
      <c r="E91" s="498" t="s">
        <v>318</v>
      </c>
      <c r="F91" s="499">
        <f t="shared" si="64"/>
        <v>628</v>
      </c>
      <c r="G91" s="205">
        <v>610</v>
      </c>
      <c r="H91" s="205">
        <v>18</v>
      </c>
      <c r="I91" s="205">
        <v>0</v>
      </c>
      <c r="J91" s="205">
        <v>0</v>
      </c>
      <c r="K91" s="499">
        <f t="shared" si="73"/>
        <v>522</v>
      </c>
      <c r="L91" s="205">
        <v>504</v>
      </c>
      <c r="M91" s="205">
        <v>18</v>
      </c>
      <c r="N91" s="205">
        <v>0</v>
      </c>
      <c r="O91" s="205">
        <v>0</v>
      </c>
      <c r="P91" s="499">
        <f t="shared" si="74"/>
        <v>1150</v>
      </c>
      <c r="Q91" s="205">
        <v>1126</v>
      </c>
      <c r="R91" s="205">
        <v>24</v>
      </c>
      <c r="S91" s="205">
        <v>0</v>
      </c>
      <c r="T91" s="206"/>
      <c r="U91" s="297">
        <f t="shared" si="68"/>
        <v>522</v>
      </c>
      <c r="V91" s="205">
        <f t="shared" si="69"/>
        <v>516</v>
      </c>
      <c r="W91" s="205">
        <f t="shared" si="70"/>
        <v>6</v>
      </c>
      <c r="X91" s="205">
        <f t="shared" si="71"/>
        <v>0</v>
      </c>
      <c r="Y91" s="206">
        <f t="shared" si="72"/>
        <v>0</v>
      </c>
    </row>
    <row r="92" spans="2:25" ht="15" hidden="1" customHeight="1" thickBot="1" x14ac:dyDescent="0.25">
      <c r="B92" s="495" t="s">
        <v>319</v>
      </c>
      <c r="C92" s="496" t="s">
        <v>301</v>
      </c>
      <c r="D92" s="540" t="s">
        <v>272</v>
      </c>
      <c r="E92" s="498" t="s">
        <v>318</v>
      </c>
      <c r="F92" s="499">
        <f t="shared" si="64"/>
        <v>390</v>
      </c>
      <c r="G92" s="205">
        <v>390</v>
      </c>
      <c r="H92" s="205">
        <v>0</v>
      </c>
      <c r="I92" s="205">
        <v>0</v>
      </c>
      <c r="J92" s="205">
        <v>0</v>
      </c>
      <c r="K92" s="499">
        <f t="shared" si="73"/>
        <v>286</v>
      </c>
      <c r="L92" s="205">
        <v>286</v>
      </c>
      <c r="M92" s="205">
        <v>0</v>
      </c>
      <c r="N92" s="205">
        <v>0</v>
      </c>
      <c r="O92" s="205">
        <v>0</v>
      </c>
      <c r="P92" s="499">
        <f t="shared" si="74"/>
        <v>220</v>
      </c>
      <c r="Q92" s="205">
        <v>220</v>
      </c>
      <c r="R92" s="205">
        <v>0</v>
      </c>
      <c r="S92" s="205">
        <v>0</v>
      </c>
      <c r="T92" s="206"/>
      <c r="U92" s="297">
        <f t="shared" si="68"/>
        <v>-170</v>
      </c>
      <c r="V92" s="205">
        <f t="shared" si="69"/>
        <v>-170</v>
      </c>
      <c r="W92" s="205">
        <f t="shared" si="70"/>
        <v>0</v>
      </c>
      <c r="X92" s="205">
        <f t="shared" si="71"/>
        <v>0</v>
      </c>
      <c r="Y92" s="206">
        <f t="shared" si="72"/>
        <v>0</v>
      </c>
    </row>
    <row r="93" spans="2:25" ht="15" hidden="1" customHeight="1" thickBot="1" x14ac:dyDescent="0.25">
      <c r="B93" s="495" t="s">
        <v>319</v>
      </c>
      <c r="C93" s="496" t="s">
        <v>321</v>
      </c>
      <c r="D93" s="540" t="s">
        <v>272</v>
      </c>
      <c r="E93" s="498" t="s">
        <v>318</v>
      </c>
      <c r="F93" s="499">
        <f t="shared" si="64"/>
        <v>1200</v>
      </c>
      <c r="G93" s="205">
        <v>1200</v>
      </c>
      <c r="H93" s="205">
        <v>0</v>
      </c>
      <c r="I93" s="205">
        <v>0</v>
      </c>
      <c r="J93" s="205">
        <v>0</v>
      </c>
      <c r="K93" s="499">
        <f t="shared" si="73"/>
        <v>940</v>
      </c>
      <c r="L93" s="205">
        <v>940</v>
      </c>
      <c r="M93" s="205">
        <v>0</v>
      </c>
      <c r="N93" s="205">
        <v>0</v>
      </c>
      <c r="O93" s="205">
        <v>0</v>
      </c>
      <c r="P93" s="499">
        <f t="shared" si="74"/>
        <v>1291</v>
      </c>
      <c r="Q93" s="205">
        <v>1291</v>
      </c>
      <c r="R93" s="205">
        <v>0</v>
      </c>
      <c r="S93" s="205">
        <v>0</v>
      </c>
      <c r="T93" s="206"/>
      <c r="U93" s="297">
        <f t="shared" si="68"/>
        <v>91</v>
      </c>
      <c r="V93" s="205">
        <f t="shared" si="69"/>
        <v>91</v>
      </c>
      <c r="W93" s="205">
        <f t="shared" si="70"/>
        <v>0</v>
      </c>
      <c r="X93" s="205">
        <f t="shared" si="71"/>
        <v>0</v>
      </c>
      <c r="Y93" s="206">
        <f t="shared" si="72"/>
        <v>0</v>
      </c>
    </row>
    <row r="94" spans="2:25" ht="15" hidden="1" customHeight="1" thickBot="1" x14ac:dyDescent="0.25">
      <c r="B94" s="495" t="s">
        <v>319</v>
      </c>
      <c r="C94" s="496" t="s">
        <v>320</v>
      </c>
      <c r="D94" s="540" t="s">
        <v>272</v>
      </c>
      <c r="E94" s="498" t="s">
        <v>318</v>
      </c>
      <c r="F94" s="499">
        <f t="shared" si="64"/>
        <v>0</v>
      </c>
      <c r="G94" s="542">
        <v>0</v>
      </c>
      <c r="H94" s="542">
        <v>0</v>
      </c>
      <c r="I94" s="542">
        <v>0</v>
      </c>
      <c r="J94" s="542">
        <v>0</v>
      </c>
      <c r="K94" s="499">
        <f t="shared" si="73"/>
        <v>448</v>
      </c>
      <c r="L94" s="542"/>
      <c r="M94" s="542">
        <v>448</v>
      </c>
      <c r="N94" s="542"/>
      <c r="O94" s="542"/>
      <c r="P94" s="499">
        <f t="shared" si="74"/>
        <v>0</v>
      </c>
      <c r="Q94" s="542"/>
      <c r="R94" s="542"/>
      <c r="S94" s="542"/>
      <c r="T94" s="541"/>
      <c r="U94" s="297">
        <f t="shared" si="68"/>
        <v>0</v>
      </c>
      <c r="V94" s="205">
        <f t="shared" si="69"/>
        <v>0</v>
      </c>
      <c r="W94" s="205">
        <f t="shared" si="70"/>
        <v>0</v>
      </c>
      <c r="X94" s="205">
        <f t="shared" si="71"/>
        <v>0</v>
      </c>
      <c r="Y94" s="206">
        <f t="shared" si="72"/>
        <v>0</v>
      </c>
    </row>
    <row r="95" spans="2:25" ht="15" customHeight="1" thickBot="1" x14ac:dyDescent="0.25">
      <c r="B95" s="539" t="s">
        <v>319</v>
      </c>
      <c r="C95" s="538"/>
      <c r="D95" s="537" t="s">
        <v>272</v>
      </c>
      <c r="E95" s="536" t="s">
        <v>318</v>
      </c>
      <c r="F95" s="505">
        <f t="shared" si="64"/>
        <v>6266</v>
      </c>
      <c r="G95" s="535">
        <f>SUM(G90:G94)</f>
        <v>4800</v>
      </c>
      <c r="H95" s="535">
        <f>SUM(H90:H94)</f>
        <v>18</v>
      </c>
      <c r="I95" s="535">
        <f>SUM(I90:I94)</f>
        <v>0</v>
      </c>
      <c r="J95" s="535">
        <f>SUM(J90:J94)</f>
        <v>1448</v>
      </c>
      <c r="K95" s="505">
        <f t="shared" si="73"/>
        <v>6218</v>
      </c>
      <c r="L95" s="535">
        <f t="shared" ref="L95:O95" si="81">SUM(L90:L94)</f>
        <v>4304</v>
      </c>
      <c r="M95" s="535">
        <f t="shared" si="81"/>
        <v>466</v>
      </c>
      <c r="N95" s="535">
        <f t="shared" si="81"/>
        <v>0</v>
      </c>
      <c r="O95" s="535">
        <f t="shared" si="81"/>
        <v>1448</v>
      </c>
      <c r="P95" s="505">
        <f t="shared" si="74"/>
        <v>5559</v>
      </c>
      <c r="Q95" s="535">
        <f t="shared" ref="Q95:T95" si="82">SUM(Q90:Q94)</f>
        <v>4511</v>
      </c>
      <c r="R95" s="535">
        <f t="shared" si="82"/>
        <v>24</v>
      </c>
      <c r="S95" s="535">
        <f t="shared" si="82"/>
        <v>0</v>
      </c>
      <c r="T95" s="534">
        <f t="shared" si="82"/>
        <v>1024</v>
      </c>
      <c r="U95" s="506">
        <f t="shared" si="68"/>
        <v>-707</v>
      </c>
      <c r="V95" s="535">
        <f t="shared" ref="V95:Y95" si="83">SUM(V90:V94)</f>
        <v>-289</v>
      </c>
      <c r="W95" s="535">
        <f t="shared" si="83"/>
        <v>6</v>
      </c>
      <c r="X95" s="535">
        <f t="shared" si="83"/>
        <v>0</v>
      </c>
      <c r="Y95" s="534">
        <f t="shared" si="83"/>
        <v>-424</v>
      </c>
    </row>
    <row r="96" spans="2:25" ht="15" hidden="1" customHeight="1" thickBot="1" x14ac:dyDescent="0.25">
      <c r="B96" s="495" t="s">
        <v>317</v>
      </c>
      <c r="C96" s="496" t="s">
        <v>302</v>
      </c>
      <c r="D96" s="540" t="s">
        <v>272</v>
      </c>
      <c r="E96" s="498" t="s">
        <v>316</v>
      </c>
      <c r="F96" s="499">
        <f t="shared" si="64"/>
        <v>3616</v>
      </c>
      <c r="G96" s="205">
        <v>3330</v>
      </c>
      <c r="H96" s="205">
        <v>0</v>
      </c>
      <c r="I96" s="205">
        <v>0</v>
      </c>
      <c r="J96" s="205">
        <v>286</v>
      </c>
      <c r="K96" s="499">
        <f t="shared" si="73"/>
        <v>3583</v>
      </c>
      <c r="L96" s="205">
        <v>3297</v>
      </c>
      <c r="M96" s="205">
        <v>0</v>
      </c>
      <c r="N96" s="205">
        <v>0</v>
      </c>
      <c r="O96" s="205">
        <v>286</v>
      </c>
      <c r="P96" s="499">
        <f t="shared" si="74"/>
        <v>3919</v>
      </c>
      <c r="Q96" s="205">
        <f>3200-8</f>
        <v>3192</v>
      </c>
      <c r="R96" s="205">
        <v>0</v>
      </c>
      <c r="S96" s="205">
        <v>0</v>
      </c>
      <c r="T96" s="206">
        <v>727</v>
      </c>
      <c r="U96" s="297">
        <f t="shared" si="68"/>
        <v>303</v>
      </c>
      <c r="V96" s="205">
        <f t="shared" si="69"/>
        <v>-138</v>
      </c>
      <c r="W96" s="205">
        <f t="shared" si="70"/>
        <v>0</v>
      </c>
      <c r="X96" s="205">
        <f t="shared" si="71"/>
        <v>0</v>
      </c>
      <c r="Y96" s="206">
        <f t="shared" si="72"/>
        <v>441</v>
      </c>
    </row>
    <row r="97" spans="2:25" ht="15" hidden="1" customHeight="1" thickBot="1" x14ac:dyDescent="0.25">
      <c r="B97" s="495" t="s">
        <v>317</v>
      </c>
      <c r="C97" s="496" t="s">
        <v>301</v>
      </c>
      <c r="D97" s="540" t="s">
        <v>272</v>
      </c>
      <c r="E97" s="498" t="s">
        <v>316</v>
      </c>
      <c r="F97" s="499">
        <f t="shared" si="64"/>
        <v>528</v>
      </c>
      <c r="G97" s="205">
        <v>229</v>
      </c>
      <c r="H97" s="205">
        <v>0</v>
      </c>
      <c r="I97" s="205">
        <v>0</v>
      </c>
      <c r="J97" s="205">
        <v>299</v>
      </c>
      <c r="K97" s="499">
        <f t="shared" si="73"/>
        <v>526</v>
      </c>
      <c r="L97" s="205">
        <v>227</v>
      </c>
      <c r="M97" s="205">
        <v>0</v>
      </c>
      <c r="N97" s="205">
        <v>0</v>
      </c>
      <c r="O97" s="205">
        <v>299</v>
      </c>
      <c r="P97" s="499">
        <f t="shared" si="74"/>
        <v>218</v>
      </c>
      <c r="Q97" s="205">
        <v>218</v>
      </c>
      <c r="R97" s="205">
        <v>0</v>
      </c>
      <c r="S97" s="205">
        <v>0</v>
      </c>
      <c r="T97" s="206"/>
      <c r="U97" s="297">
        <f t="shared" si="68"/>
        <v>-310</v>
      </c>
      <c r="V97" s="205">
        <f t="shared" si="69"/>
        <v>-11</v>
      </c>
      <c r="W97" s="205">
        <f t="shared" si="70"/>
        <v>0</v>
      </c>
      <c r="X97" s="205">
        <f t="shared" si="71"/>
        <v>0</v>
      </c>
      <c r="Y97" s="206">
        <f t="shared" si="72"/>
        <v>-299</v>
      </c>
    </row>
    <row r="98" spans="2:25" ht="15" customHeight="1" thickBot="1" x14ac:dyDescent="0.25">
      <c r="B98" s="539" t="s">
        <v>317</v>
      </c>
      <c r="C98" s="538"/>
      <c r="D98" s="537" t="s">
        <v>272</v>
      </c>
      <c r="E98" s="536" t="s">
        <v>316</v>
      </c>
      <c r="F98" s="505">
        <f t="shared" si="64"/>
        <v>4144</v>
      </c>
      <c r="G98" s="535">
        <f>SUM(G96:G97)</f>
        <v>3559</v>
      </c>
      <c r="H98" s="535">
        <f>SUM(H96:H97)</f>
        <v>0</v>
      </c>
      <c r="I98" s="535">
        <f>SUM(I96:I97)</f>
        <v>0</v>
      </c>
      <c r="J98" s="535">
        <f>SUM(J96:J97)</f>
        <v>585</v>
      </c>
      <c r="K98" s="505">
        <f t="shared" si="73"/>
        <v>4109</v>
      </c>
      <c r="L98" s="535">
        <f t="shared" ref="L98:O98" si="84">SUM(L96:L97)</f>
        <v>3524</v>
      </c>
      <c r="M98" s="535">
        <f t="shared" si="84"/>
        <v>0</v>
      </c>
      <c r="N98" s="535">
        <f t="shared" si="84"/>
        <v>0</v>
      </c>
      <c r="O98" s="535">
        <f t="shared" si="84"/>
        <v>585</v>
      </c>
      <c r="P98" s="505">
        <f t="shared" si="74"/>
        <v>4137</v>
      </c>
      <c r="Q98" s="535">
        <f t="shared" ref="Q98:T98" si="85">SUM(Q96:Q97)</f>
        <v>3410</v>
      </c>
      <c r="R98" s="535">
        <f t="shared" si="85"/>
        <v>0</v>
      </c>
      <c r="S98" s="535">
        <f t="shared" si="85"/>
        <v>0</v>
      </c>
      <c r="T98" s="534">
        <f t="shared" si="85"/>
        <v>727</v>
      </c>
      <c r="U98" s="506">
        <f t="shared" si="68"/>
        <v>-7</v>
      </c>
      <c r="V98" s="535">
        <f t="shared" ref="V98:Y98" si="86">SUM(V96:V97)</f>
        <v>-149</v>
      </c>
      <c r="W98" s="535">
        <f t="shared" si="86"/>
        <v>0</v>
      </c>
      <c r="X98" s="535">
        <f t="shared" si="86"/>
        <v>0</v>
      </c>
      <c r="Y98" s="534">
        <f t="shared" si="86"/>
        <v>142</v>
      </c>
    </row>
    <row r="99" spans="2:25" ht="15" hidden="1" customHeight="1" thickBot="1" x14ac:dyDescent="0.25">
      <c r="B99" s="495" t="s">
        <v>315</v>
      </c>
      <c r="C99" s="496" t="s">
        <v>302</v>
      </c>
      <c r="D99" s="540" t="s">
        <v>272</v>
      </c>
      <c r="E99" s="498" t="s">
        <v>314</v>
      </c>
      <c r="F99" s="499">
        <f t="shared" si="64"/>
        <v>5441</v>
      </c>
      <c r="G99" s="205">
        <v>2905</v>
      </c>
      <c r="H99" s="205">
        <v>0</v>
      </c>
      <c r="I99" s="205">
        <v>0</v>
      </c>
      <c r="J99" s="205">
        <v>2536</v>
      </c>
      <c r="K99" s="499">
        <f t="shared" si="73"/>
        <v>5412</v>
      </c>
      <c r="L99" s="205">
        <f>285529/100</f>
        <v>2855.29</v>
      </c>
      <c r="M99" s="205">
        <f>2071/100</f>
        <v>20.71</v>
      </c>
      <c r="N99" s="205">
        <v>0</v>
      </c>
      <c r="O99" s="205">
        <v>2536</v>
      </c>
      <c r="P99" s="499">
        <f t="shared" si="74"/>
        <v>4662</v>
      </c>
      <c r="Q99" s="205">
        <v>2584</v>
      </c>
      <c r="R99" s="205">
        <v>0</v>
      </c>
      <c r="S99" s="205">
        <v>0</v>
      </c>
      <c r="T99" s="206">
        <v>2078</v>
      </c>
      <c r="U99" s="297">
        <f t="shared" si="68"/>
        <v>-779</v>
      </c>
      <c r="V99" s="205">
        <f t="shared" si="69"/>
        <v>-321</v>
      </c>
      <c r="W99" s="205">
        <f t="shared" si="70"/>
        <v>0</v>
      </c>
      <c r="X99" s="205">
        <f t="shared" si="71"/>
        <v>0</v>
      </c>
      <c r="Y99" s="206">
        <f t="shared" si="72"/>
        <v>-458</v>
      </c>
    </row>
    <row r="100" spans="2:25" ht="15" hidden="1" customHeight="1" thickBot="1" x14ac:dyDescent="0.25">
      <c r="B100" s="495" t="s">
        <v>315</v>
      </c>
      <c r="C100" s="496" t="s">
        <v>277</v>
      </c>
      <c r="D100" s="540" t="s">
        <v>272</v>
      </c>
      <c r="E100" s="498" t="s">
        <v>314</v>
      </c>
      <c r="F100" s="499">
        <f t="shared" si="64"/>
        <v>200</v>
      </c>
      <c r="G100" s="205">
        <v>200</v>
      </c>
      <c r="H100" s="205">
        <v>0</v>
      </c>
      <c r="I100" s="205">
        <v>0</v>
      </c>
      <c r="J100" s="205">
        <v>0</v>
      </c>
      <c r="K100" s="499">
        <f t="shared" si="73"/>
        <v>198</v>
      </c>
      <c r="L100" s="205">
        <v>198</v>
      </c>
      <c r="M100" s="205">
        <v>0</v>
      </c>
      <c r="N100" s="205">
        <v>0</v>
      </c>
      <c r="O100" s="205">
        <v>0</v>
      </c>
      <c r="P100" s="499">
        <f t="shared" si="74"/>
        <v>200</v>
      </c>
      <c r="Q100" s="205">
        <v>200</v>
      </c>
      <c r="R100" s="205">
        <v>0</v>
      </c>
      <c r="S100" s="205">
        <v>0</v>
      </c>
      <c r="T100" s="206"/>
      <c r="U100" s="297">
        <f t="shared" si="68"/>
        <v>0</v>
      </c>
      <c r="V100" s="205">
        <f t="shared" si="69"/>
        <v>0</v>
      </c>
      <c r="W100" s="205">
        <f t="shared" si="70"/>
        <v>0</v>
      </c>
      <c r="X100" s="205">
        <f t="shared" si="71"/>
        <v>0</v>
      </c>
      <c r="Y100" s="206">
        <f t="shared" si="72"/>
        <v>0</v>
      </c>
    </row>
    <row r="101" spans="2:25" ht="15" hidden="1" customHeight="1" thickBot="1" x14ac:dyDescent="0.25">
      <c r="B101" s="495" t="s">
        <v>315</v>
      </c>
      <c r="C101" s="496" t="s">
        <v>301</v>
      </c>
      <c r="D101" s="540" t="s">
        <v>272</v>
      </c>
      <c r="E101" s="498" t="s">
        <v>314</v>
      </c>
      <c r="F101" s="499">
        <f t="shared" si="64"/>
        <v>450</v>
      </c>
      <c r="G101" s="205">
        <v>450</v>
      </c>
      <c r="H101" s="205">
        <v>0</v>
      </c>
      <c r="I101" s="205">
        <v>0</v>
      </c>
      <c r="J101" s="205">
        <v>0</v>
      </c>
      <c r="K101" s="499">
        <f t="shared" si="73"/>
        <v>445</v>
      </c>
      <c r="L101" s="205">
        <v>445</v>
      </c>
      <c r="M101" s="205">
        <v>0</v>
      </c>
      <c r="N101" s="205">
        <v>0</v>
      </c>
      <c r="O101" s="205">
        <v>0</v>
      </c>
      <c r="P101" s="499">
        <f t="shared" si="74"/>
        <v>450</v>
      </c>
      <c r="Q101" s="205">
        <v>450</v>
      </c>
      <c r="R101" s="205">
        <v>0</v>
      </c>
      <c r="S101" s="205">
        <v>0</v>
      </c>
      <c r="T101" s="206"/>
      <c r="U101" s="297">
        <f t="shared" si="68"/>
        <v>0</v>
      </c>
      <c r="V101" s="205">
        <f t="shared" si="69"/>
        <v>0</v>
      </c>
      <c r="W101" s="205">
        <f t="shared" si="70"/>
        <v>0</v>
      </c>
      <c r="X101" s="205">
        <f t="shared" si="71"/>
        <v>0</v>
      </c>
      <c r="Y101" s="206">
        <f t="shared" si="72"/>
        <v>0</v>
      </c>
    </row>
    <row r="102" spans="2:25" ht="15" customHeight="1" thickBot="1" x14ac:dyDescent="0.25">
      <c r="B102" s="539" t="s">
        <v>315</v>
      </c>
      <c r="C102" s="538"/>
      <c r="D102" s="537" t="s">
        <v>272</v>
      </c>
      <c r="E102" s="536" t="s">
        <v>314</v>
      </c>
      <c r="F102" s="505">
        <f t="shared" si="64"/>
        <v>6091</v>
      </c>
      <c r="G102" s="535">
        <f>SUM(G99:G101)</f>
        <v>3555</v>
      </c>
      <c r="H102" s="535">
        <f>SUM(H99:H101)</f>
        <v>0</v>
      </c>
      <c r="I102" s="535">
        <f>SUM(I99:I101)</f>
        <v>0</v>
      </c>
      <c r="J102" s="535">
        <f>SUM(J99:J101)</f>
        <v>2536</v>
      </c>
      <c r="K102" s="505">
        <f t="shared" si="73"/>
        <v>6055</v>
      </c>
      <c r="L102" s="535">
        <f t="shared" ref="L102:O102" si="87">SUM(L99:L101)</f>
        <v>3498.29</v>
      </c>
      <c r="M102" s="535">
        <f t="shared" si="87"/>
        <v>20.71</v>
      </c>
      <c r="N102" s="535">
        <f t="shared" si="87"/>
        <v>0</v>
      </c>
      <c r="O102" s="535">
        <f t="shared" si="87"/>
        <v>2536</v>
      </c>
      <c r="P102" s="505">
        <f t="shared" si="74"/>
        <v>5312</v>
      </c>
      <c r="Q102" s="535">
        <f t="shared" ref="Q102:T102" si="88">SUM(Q99:Q101)</f>
        <v>3234</v>
      </c>
      <c r="R102" s="535">
        <f t="shared" si="88"/>
        <v>0</v>
      </c>
      <c r="S102" s="535">
        <f t="shared" si="88"/>
        <v>0</v>
      </c>
      <c r="T102" s="534">
        <f t="shared" si="88"/>
        <v>2078</v>
      </c>
      <c r="U102" s="506">
        <f t="shared" si="68"/>
        <v>-779</v>
      </c>
      <c r="V102" s="535">
        <f t="shared" ref="V102:Y102" si="89">SUM(V99:V101)</f>
        <v>-321</v>
      </c>
      <c r="W102" s="535">
        <f t="shared" si="89"/>
        <v>0</v>
      </c>
      <c r="X102" s="535">
        <f t="shared" si="89"/>
        <v>0</v>
      </c>
      <c r="Y102" s="534">
        <f t="shared" si="89"/>
        <v>-458</v>
      </c>
    </row>
    <row r="103" spans="2:25" ht="15" hidden="1" customHeight="1" thickBot="1" x14ac:dyDescent="0.25">
      <c r="B103" s="495" t="s">
        <v>313</v>
      </c>
      <c r="C103" s="496" t="s">
        <v>307</v>
      </c>
      <c r="D103" s="540" t="s">
        <v>272</v>
      </c>
      <c r="E103" s="498" t="s">
        <v>312</v>
      </c>
      <c r="F103" s="499">
        <f t="shared" si="64"/>
        <v>3771</v>
      </c>
      <c r="G103" s="205">
        <v>2831</v>
      </c>
      <c r="H103" s="205">
        <v>0</v>
      </c>
      <c r="I103" s="205">
        <v>0</v>
      </c>
      <c r="J103" s="205">
        <v>940</v>
      </c>
      <c r="K103" s="499">
        <f t="shared" si="73"/>
        <v>3743</v>
      </c>
      <c r="L103" s="205">
        <v>2803</v>
      </c>
      <c r="M103" s="205">
        <v>0</v>
      </c>
      <c r="N103" s="205">
        <v>0</v>
      </c>
      <c r="O103" s="205">
        <v>940</v>
      </c>
      <c r="P103" s="499">
        <f t="shared" si="74"/>
        <v>3584</v>
      </c>
      <c r="Q103" s="205">
        <f>2983-184</f>
        <v>2799</v>
      </c>
      <c r="R103" s="205">
        <v>0</v>
      </c>
      <c r="S103" s="205">
        <v>0</v>
      </c>
      <c r="T103" s="206">
        <v>785</v>
      </c>
      <c r="U103" s="297">
        <f t="shared" si="68"/>
        <v>-187</v>
      </c>
      <c r="V103" s="205">
        <f t="shared" si="69"/>
        <v>-32</v>
      </c>
      <c r="W103" s="205">
        <f t="shared" si="70"/>
        <v>0</v>
      </c>
      <c r="X103" s="205">
        <f t="shared" si="71"/>
        <v>0</v>
      </c>
      <c r="Y103" s="206">
        <f t="shared" si="72"/>
        <v>-155</v>
      </c>
    </row>
    <row r="104" spans="2:25" ht="15" hidden="1" customHeight="1" thickBot="1" x14ac:dyDescent="0.25">
      <c r="B104" s="495" t="s">
        <v>313</v>
      </c>
      <c r="C104" s="496" t="s">
        <v>302</v>
      </c>
      <c r="D104" s="540" t="s">
        <v>272</v>
      </c>
      <c r="E104" s="498" t="s">
        <v>312</v>
      </c>
      <c r="F104" s="499">
        <f t="shared" si="64"/>
        <v>650</v>
      </c>
      <c r="G104" s="205">
        <v>650</v>
      </c>
      <c r="H104" s="205"/>
      <c r="I104" s="205"/>
      <c r="J104" s="205"/>
      <c r="K104" s="499">
        <f t="shared" si="73"/>
        <v>643</v>
      </c>
      <c r="L104" s="205">
        <v>643</v>
      </c>
      <c r="M104" s="205"/>
      <c r="N104" s="205"/>
      <c r="O104" s="205"/>
      <c r="P104" s="499">
        <f t="shared" si="74"/>
        <v>0</v>
      </c>
      <c r="Q104" s="205"/>
      <c r="R104" s="205"/>
      <c r="S104" s="205"/>
      <c r="T104" s="206"/>
      <c r="U104" s="297">
        <f t="shared" si="68"/>
        <v>-650</v>
      </c>
      <c r="V104" s="205">
        <f t="shared" si="69"/>
        <v>-650</v>
      </c>
      <c r="W104" s="205">
        <f t="shared" si="70"/>
        <v>0</v>
      </c>
      <c r="X104" s="205">
        <f t="shared" si="71"/>
        <v>0</v>
      </c>
      <c r="Y104" s="206">
        <f t="shared" si="72"/>
        <v>0</v>
      </c>
    </row>
    <row r="105" spans="2:25" ht="15" hidden="1" customHeight="1" thickBot="1" x14ac:dyDescent="0.25">
      <c r="B105" s="495" t="s">
        <v>313</v>
      </c>
      <c r="C105" s="496" t="s">
        <v>301</v>
      </c>
      <c r="D105" s="540" t="s">
        <v>272</v>
      </c>
      <c r="E105" s="498" t="s">
        <v>312</v>
      </c>
      <c r="F105" s="499">
        <f t="shared" si="64"/>
        <v>850</v>
      </c>
      <c r="G105" s="205">
        <v>850</v>
      </c>
      <c r="H105" s="205">
        <v>0</v>
      </c>
      <c r="I105" s="205">
        <v>0</v>
      </c>
      <c r="J105" s="205">
        <v>0</v>
      </c>
      <c r="K105" s="499">
        <f t="shared" si="73"/>
        <v>841</v>
      </c>
      <c r="L105" s="205">
        <v>841</v>
      </c>
      <c r="M105" s="205">
        <v>0</v>
      </c>
      <c r="N105" s="205">
        <v>0</v>
      </c>
      <c r="O105" s="205">
        <v>0</v>
      </c>
      <c r="P105" s="499">
        <f t="shared" si="74"/>
        <v>1090</v>
      </c>
      <c r="Q105" s="205">
        <v>1090</v>
      </c>
      <c r="R105" s="205">
        <v>0</v>
      </c>
      <c r="S105" s="205">
        <v>0</v>
      </c>
      <c r="T105" s="206"/>
      <c r="U105" s="297">
        <f t="shared" si="68"/>
        <v>240</v>
      </c>
      <c r="V105" s="205">
        <f t="shared" si="69"/>
        <v>240</v>
      </c>
      <c r="W105" s="205">
        <f t="shared" si="70"/>
        <v>0</v>
      </c>
      <c r="X105" s="205">
        <f t="shared" si="71"/>
        <v>0</v>
      </c>
      <c r="Y105" s="206">
        <f t="shared" si="72"/>
        <v>0</v>
      </c>
    </row>
    <row r="106" spans="2:25" ht="15" customHeight="1" thickBot="1" x14ac:dyDescent="0.25">
      <c r="B106" s="539" t="s">
        <v>313</v>
      </c>
      <c r="C106" s="538"/>
      <c r="D106" s="537" t="s">
        <v>272</v>
      </c>
      <c r="E106" s="536" t="s">
        <v>312</v>
      </c>
      <c r="F106" s="505">
        <f t="shared" si="64"/>
        <v>5271</v>
      </c>
      <c r="G106" s="535">
        <f>SUM(G103:G105)</f>
        <v>4331</v>
      </c>
      <c r="H106" s="535">
        <f>SUM(H103:H105)</f>
        <v>0</v>
      </c>
      <c r="I106" s="535">
        <f>SUM(I103:I105)</f>
        <v>0</v>
      </c>
      <c r="J106" s="535">
        <f>SUM(J103:J105)</f>
        <v>940</v>
      </c>
      <c r="K106" s="505">
        <f t="shared" si="73"/>
        <v>5227</v>
      </c>
      <c r="L106" s="535">
        <f t="shared" ref="L106:O106" si="90">SUM(L103:L105)</f>
        <v>4287</v>
      </c>
      <c r="M106" s="535">
        <f t="shared" si="90"/>
        <v>0</v>
      </c>
      <c r="N106" s="535">
        <f t="shared" si="90"/>
        <v>0</v>
      </c>
      <c r="O106" s="535">
        <f t="shared" si="90"/>
        <v>940</v>
      </c>
      <c r="P106" s="505">
        <f t="shared" si="74"/>
        <v>4674</v>
      </c>
      <c r="Q106" s="535">
        <f t="shared" ref="Q106:T106" si="91">SUM(Q103:Q105)</f>
        <v>3889</v>
      </c>
      <c r="R106" s="535">
        <f t="shared" si="91"/>
        <v>0</v>
      </c>
      <c r="S106" s="535">
        <f t="shared" si="91"/>
        <v>0</v>
      </c>
      <c r="T106" s="534">
        <f t="shared" si="91"/>
        <v>785</v>
      </c>
      <c r="U106" s="506">
        <f t="shared" si="68"/>
        <v>-597</v>
      </c>
      <c r="V106" s="535">
        <f t="shared" ref="V106:Y106" si="92">SUM(V103:V105)</f>
        <v>-442</v>
      </c>
      <c r="W106" s="535">
        <f t="shared" si="92"/>
        <v>0</v>
      </c>
      <c r="X106" s="535">
        <f t="shared" si="92"/>
        <v>0</v>
      </c>
      <c r="Y106" s="534">
        <f t="shared" si="92"/>
        <v>-155</v>
      </c>
    </row>
    <row r="107" spans="2:25" ht="15" hidden="1" customHeight="1" thickBot="1" x14ac:dyDescent="0.25">
      <c r="B107" s="495" t="s">
        <v>311</v>
      </c>
      <c r="C107" s="496" t="s">
        <v>302</v>
      </c>
      <c r="D107" s="540" t="s">
        <v>272</v>
      </c>
      <c r="E107" s="498" t="s">
        <v>310</v>
      </c>
      <c r="F107" s="499">
        <f t="shared" si="64"/>
        <v>9486</v>
      </c>
      <c r="G107" s="205">
        <v>6530</v>
      </c>
      <c r="H107" s="205">
        <v>0</v>
      </c>
      <c r="I107" s="205">
        <v>0</v>
      </c>
      <c r="J107" s="205">
        <v>2956</v>
      </c>
      <c r="K107" s="499">
        <f t="shared" si="73"/>
        <v>9421</v>
      </c>
      <c r="L107" s="205">
        <v>6465</v>
      </c>
      <c r="M107" s="205">
        <v>0</v>
      </c>
      <c r="N107" s="205">
        <v>0</v>
      </c>
      <c r="O107" s="205">
        <v>2956</v>
      </c>
      <c r="P107" s="499">
        <f t="shared" si="74"/>
        <v>8299</v>
      </c>
      <c r="Q107" s="205">
        <f>6350-41</f>
        <v>6309</v>
      </c>
      <c r="R107" s="205">
        <v>0</v>
      </c>
      <c r="S107" s="205">
        <v>0</v>
      </c>
      <c r="T107" s="206">
        <v>1990</v>
      </c>
      <c r="U107" s="297">
        <f t="shared" si="68"/>
        <v>-1187</v>
      </c>
      <c r="V107" s="205">
        <f t="shared" si="69"/>
        <v>-221</v>
      </c>
      <c r="W107" s="205">
        <f t="shared" si="70"/>
        <v>0</v>
      </c>
      <c r="X107" s="205">
        <f t="shared" si="71"/>
        <v>0</v>
      </c>
      <c r="Y107" s="206">
        <f t="shared" si="72"/>
        <v>-966</v>
      </c>
    </row>
    <row r="108" spans="2:25" ht="15" hidden="1" customHeight="1" thickBot="1" x14ac:dyDescent="0.25">
      <c r="B108" s="495" t="s">
        <v>311</v>
      </c>
      <c r="C108" s="496" t="s">
        <v>277</v>
      </c>
      <c r="D108" s="540" t="s">
        <v>272</v>
      </c>
      <c r="E108" s="498" t="s">
        <v>310</v>
      </c>
      <c r="F108" s="499">
        <f t="shared" si="64"/>
        <v>403</v>
      </c>
      <c r="G108" s="205">
        <v>403</v>
      </c>
      <c r="H108" s="205">
        <v>0</v>
      </c>
      <c r="I108" s="205">
        <v>0</v>
      </c>
      <c r="J108" s="205">
        <v>0</v>
      </c>
      <c r="K108" s="499">
        <f t="shared" si="73"/>
        <v>399</v>
      </c>
      <c r="L108" s="205">
        <v>399</v>
      </c>
      <c r="M108" s="205">
        <v>0</v>
      </c>
      <c r="N108" s="205">
        <v>0</v>
      </c>
      <c r="O108" s="205">
        <v>0</v>
      </c>
      <c r="P108" s="499">
        <f t="shared" si="74"/>
        <v>750</v>
      </c>
      <c r="Q108" s="205">
        <v>750</v>
      </c>
      <c r="R108" s="205">
        <v>0</v>
      </c>
      <c r="S108" s="205">
        <v>0</v>
      </c>
      <c r="T108" s="206"/>
      <c r="U108" s="297">
        <f t="shared" si="68"/>
        <v>347</v>
      </c>
      <c r="V108" s="205">
        <f t="shared" si="69"/>
        <v>347</v>
      </c>
      <c r="W108" s="205">
        <f t="shared" si="70"/>
        <v>0</v>
      </c>
      <c r="X108" s="205">
        <f t="shared" si="71"/>
        <v>0</v>
      </c>
      <c r="Y108" s="206">
        <f t="shared" si="72"/>
        <v>0</v>
      </c>
    </row>
    <row r="109" spans="2:25" ht="15" hidden="1" customHeight="1" thickBot="1" x14ac:dyDescent="0.25">
      <c r="B109" s="495" t="s">
        <v>311</v>
      </c>
      <c r="C109" s="496" t="s">
        <v>301</v>
      </c>
      <c r="D109" s="540" t="s">
        <v>272</v>
      </c>
      <c r="E109" s="498" t="s">
        <v>310</v>
      </c>
      <c r="F109" s="499">
        <f t="shared" si="64"/>
        <v>450</v>
      </c>
      <c r="G109" s="542">
        <v>450</v>
      </c>
      <c r="H109" s="542">
        <v>0</v>
      </c>
      <c r="I109" s="542">
        <v>0</v>
      </c>
      <c r="J109" s="542">
        <v>0</v>
      </c>
      <c r="K109" s="499">
        <f t="shared" si="73"/>
        <v>445</v>
      </c>
      <c r="L109" s="542">
        <v>445</v>
      </c>
      <c r="M109" s="542"/>
      <c r="N109" s="542"/>
      <c r="O109" s="542"/>
      <c r="P109" s="499">
        <f t="shared" si="74"/>
        <v>0</v>
      </c>
      <c r="Q109" s="542"/>
      <c r="R109" s="542"/>
      <c r="S109" s="542"/>
      <c r="T109" s="541"/>
      <c r="U109" s="297">
        <f t="shared" si="68"/>
        <v>-450</v>
      </c>
      <c r="V109" s="205">
        <f t="shared" si="69"/>
        <v>-450</v>
      </c>
      <c r="W109" s="205">
        <f t="shared" si="70"/>
        <v>0</v>
      </c>
      <c r="X109" s="205">
        <f t="shared" si="71"/>
        <v>0</v>
      </c>
      <c r="Y109" s="206">
        <f t="shared" si="72"/>
        <v>0</v>
      </c>
    </row>
    <row r="110" spans="2:25" ht="15" customHeight="1" thickBot="1" x14ac:dyDescent="0.25">
      <c r="B110" s="539" t="s">
        <v>311</v>
      </c>
      <c r="C110" s="538"/>
      <c r="D110" s="537" t="s">
        <v>272</v>
      </c>
      <c r="E110" s="536" t="s">
        <v>310</v>
      </c>
      <c r="F110" s="505">
        <f t="shared" si="64"/>
        <v>10339</v>
      </c>
      <c r="G110" s="535">
        <f>SUM(G107:G109)</f>
        <v>7383</v>
      </c>
      <c r="H110" s="535">
        <f>SUM(H107:H109)</f>
        <v>0</v>
      </c>
      <c r="I110" s="535">
        <f>SUM(I107:I109)</f>
        <v>0</v>
      </c>
      <c r="J110" s="535">
        <f>SUM(J107:J109)</f>
        <v>2956</v>
      </c>
      <c r="K110" s="505">
        <f t="shared" si="73"/>
        <v>10265</v>
      </c>
      <c r="L110" s="535">
        <f t="shared" ref="L110:O110" si="93">SUM(L107:L109)</f>
        <v>7309</v>
      </c>
      <c r="M110" s="535">
        <f t="shared" si="93"/>
        <v>0</v>
      </c>
      <c r="N110" s="535">
        <f t="shared" si="93"/>
        <v>0</v>
      </c>
      <c r="O110" s="535">
        <f t="shared" si="93"/>
        <v>2956</v>
      </c>
      <c r="P110" s="505">
        <f t="shared" si="74"/>
        <v>9049</v>
      </c>
      <c r="Q110" s="535">
        <f t="shared" ref="Q110:T110" si="94">SUM(Q107:Q109)</f>
        <v>7059</v>
      </c>
      <c r="R110" s="535">
        <f t="shared" si="94"/>
        <v>0</v>
      </c>
      <c r="S110" s="535">
        <f t="shared" si="94"/>
        <v>0</v>
      </c>
      <c r="T110" s="534">
        <f t="shared" si="94"/>
        <v>1990</v>
      </c>
      <c r="U110" s="506">
        <f t="shared" si="68"/>
        <v>-1290</v>
      </c>
      <c r="V110" s="535">
        <f t="shared" ref="V110:Y110" si="95">SUM(V107:V109)</f>
        <v>-324</v>
      </c>
      <c r="W110" s="535">
        <f t="shared" si="95"/>
        <v>0</v>
      </c>
      <c r="X110" s="535">
        <f t="shared" si="95"/>
        <v>0</v>
      </c>
      <c r="Y110" s="534">
        <f t="shared" si="95"/>
        <v>-966</v>
      </c>
    </row>
    <row r="111" spans="2:25" ht="15" hidden="1" customHeight="1" thickBot="1" x14ac:dyDescent="0.25">
      <c r="B111" s="495" t="s">
        <v>309</v>
      </c>
      <c r="C111" s="496" t="s">
        <v>302</v>
      </c>
      <c r="D111" s="540" t="s">
        <v>272</v>
      </c>
      <c r="E111" s="498" t="s">
        <v>308</v>
      </c>
      <c r="F111" s="499">
        <f t="shared" si="64"/>
        <v>4548</v>
      </c>
      <c r="G111" s="205">
        <v>3658</v>
      </c>
      <c r="H111" s="205">
        <v>0</v>
      </c>
      <c r="I111" s="205">
        <v>0</v>
      </c>
      <c r="J111" s="205">
        <v>890</v>
      </c>
      <c r="K111" s="499">
        <f t="shared" si="73"/>
        <v>4511</v>
      </c>
      <c r="L111" s="205">
        <v>3486</v>
      </c>
      <c r="M111" s="205">
        <v>135</v>
      </c>
      <c r="N111" s="205">
        <v>0</v>
      </c>
      <c r="O111" s="205">
        <v>890</v>
      </c>
      <c r="P111" s="499">
        <f t="shared" si="74"/>
        <v>5289</v>
      </c>
      <c r="Q111" s="205">
        <v>3300</v>
      </c>
      <c r="R111" s="205">
        <v>135</v>
      </c>
      <c r="S111" s="205">
        <v>0</v>
      </c>
      <c r="T111" s="206">
        <v>1854</v>
      </c>
      <c r="U111" s="297">
        <f t="shared" si="68"/>
        <v>741</v>
      </c>
      <c r="V111" s="205">
        <f t="shared" si="69"/>
        <v>-358</v>
      </c>
      <c r="W111" s="205">
        <f t="shared" si="70"/>
        <v>135</v>
      </c>
      <c r="X111" s="205">
        <f t="shared" si="71"/>
        <v>0</v>
      </c>
      <c r="Y111" s="206">
        <f t="shared" si="72"/>
        <v>964</v>
      </c>
    </row>
    <row r="112" spans="2:25" ht="15" hidden="1" customHeight="1" thickBot="1" x14ac:dyDescent="0.25">
      <c r="B112" s="495" t="s">
        <v>309</v>
      </c>
      <c r="C112" s="496" t="s">
        <v>277</v>
      </c>
      <c r="D112" s="540" t="s">
        <v>272</v>
      </c>
      <c r="E112" s="498" t="s">
        <v>308</v>
      </c>
      <c r="F112" s="499">
        <f t="shared" si="64"/>
        <v>228</v>
      </c>
      <c r="G112" s="205">
        <v>228</v>
      </c>
      <c r="H112" s="205">
        <v>0</v>
      </c>
      <c r="I112" s="205">
        <v>0</v>
      </c>
      <c r="J112" s="205">
        <v>0</v>
      </c>
      <c r="K112" s="499">
        <f t="shared" si="73"/>
        <v>226</v>
      </c>
      <c r="L112" s="205">
        <v>226</v>
      </c>
      <c r="M112" s="205">
        <v>0</v>
      </c>
      <c r="N112" s="205">
        <v>0</v>
      </c>
      <c r="O112" s="205">
        <v>0</v>
      </c>
      <c r="P112" s="499">
        <f t="shared" si="74"/>
        <v>200</v>
      </c>
      <c r="Q112" s="205">
        <v>200</v>
      </c>
      <c r="R112" s="205">
        <v>0</v>
      </c>
      <c r="S112" s="205">
        <v>0</v>
      </c>
      <c r="T112" s="206"/>
      <c r="U112" s="297">
        <f t="shared" ref="U112:U143" si="96">SUM(V112:Y112)</f>
        <v>-28</v>
      </c>
      <c r="V112" s="205">
        <f t="shared" ref="V112:V146" si="97">Q112-G112</f>
        <v>-28</v>
      </c>
      <c r="W112" s="205">
        <f t="shared" ref="W112:W146" si="98">R112-H112</f>
        <v>0</v>
      </c>
      <c r="X112" s="205">
        <f t="shared" ref="X112:X146" si="99">S112-I112</f>
        <v>0</v>
      </c>
      <c r="Y112" s="206">
        <f t="shared" ref="Y112:Y146" si="100">T112-J112</f>
        <v>0</v>
      </c>
    </row>
    <row r="113" spans="2:25" ht="24" customHeight="1" thickBot="1" x14ac:dyDescent="0.25">
      <c r="B113" s="539" t="s">
        <v>309</v>
      </c>
      <c r="C113" s="538"/>
      <c r="D113" s="537" t="s">
        <v>272</v>
      </c>
      <c r="E113" s="536" t="s">
        <v>308</v>
      </c>
      <c r="F113" s="505">
        <f t="shared" si="64"/>
        <v>4776</v>
      </c>
      <c r="G113" s="535">
        <f>SUM(G111:G112)</f>
        <v>3886</v>
      </c>
      <c r="H113" s="535">
        <f>SUM(H111:H112)</f>
        <v>0</v>
      </c>
      <c r="I113" s="535">
        <f>SUM(I111:I112)</f>
        <v>0</v>
      </c>
      <c r="J113" s="535">
        <f>SUM(J111:J112)</f>
        <v>890</v>
      </c>
      <c r="K113" s="505">
        <f t="shared" si="73"/>
        <v>4737</v>
      </c>
      <c r="L113" s="535">
        <f t="shared" ref="L113:O113" si="101">SUM(L111:L112)</f>
        <v>3712</v>
      </c>
      <c r="M113" s="535">
        <f t="shared" si="101"/>
        <v>135</v>
      </c>
      <c r="N113" s="535">
        <f t="shared" si="101"/>
        <v>0</v>
      </c>
      <c r="O113" s="535">
        <f t="shared" si="101"/>
        <v>890</v>
      </c>
      <c r="P113" s="505">
        <f t="shared" si="74"/>
        <v>5489</v>
      </c>
      <c r="Q113" s="535">
        <f t="shared" ref="Q113:T113" si="102">SUM(Q111:Q112)</f>
        <v>3500</v>
      </c>
      <c r="R113" s="535">
        <f t="shared" si="102"/>
        <v>135</v>
      </c>
      <c r="S113" s="535">
        <f t="shared" si="102"/>
        <v>0</v>
      </c>
      <c r="T113" s="534">
        <f t="shared" si="102"/>
        <v>1854</v>
      </c>
      <c r="U113" s="506">
        <f t="shared" si="96"/>
        <v>713</v>
      </c>
      <c r="V113" s="535">
        <f t="shared" ref="V113:Y113" si="103">SUM(V111:V112)</f>
        <v>-386</v>
      </c>
      <c r="W113" s="535">
        <f t="shared" si="103"/>
        <v>135</v>
      </c>
      <c r="X113" s="535">
        <f t="shared" si="103"/>
        <v>0</v>
      </c>
      <c r="Y113" s="534">
        <f t="shared" si="103"/>
        <v>964</v>
      </c>
    </row>
    <row r="114" spans="2:25" ht="15" hidden="1" customHeight="1" thickBot="1" x14ac:dyDescent="0.25">
      <c r="B114" s="495" t="s">
        <v>306</v>
      </c>
      <c r="C114" s="496" t="s">
        <v>307</v>
      </c>
      <c r="D114" s="540" t="s">
        <v>272</v>
      </c>
      <c r="E114" s="498" t="s">
        <v>305</v>
      </c>
      <c r="F114" s="499">
        <f t="shared" si="64"/>
        <v>0</v>
      </c>
      <c r="G114" s="205">
        <v>0</v>
      </c>
      <c r="H114" s="205">
        <v>0</v>
      </c>
      <c r="I114" s="205">
        <v>0</v>
      </c>
      <c r="J114" s="205">
        <v>0</v>
      </c>
      <c r="K114" s="499">
        <f t="shared" si="73"/>
        <v>0</v>
      </c>
      <c r="L114" s="205">
        <v>0</v>
      </c>
      <c r="M114" s="205">
        <v>0</v>
      </c>
      <c r="N114" s="205">
        <v>0</v>
      </c>
      <c r="O114" s="205">
        <v>0</v>
      </c>
      <c r="P114" s="499">
        <f t="shared" si="74"/>
        <v>62</v>
      </c>
      <c r="Q114" s="205">
        <v>62</v>
      </c>
      <c r="R114" s="205">
        <v>0</v>
      </c>
      <c r="S114" s="205">
        <v>0</v>
      </c>
      <c r="T114" s="206"/>
      <c r="U114" s="297">
        <f t="shared" si="96"/>
        <v>62</v>
      </c>
      <c r="V114" s="205">
        <f t="shared" si="97"/>
        <v>62</v>
      </c>
      <c r="W114" s="205">
        <f t="shared" si="98"/>
        <v>0</v>
      </c>
      <c r="X114" s="205">
        <f t="shared" si="99"/>
        <v>0</v>
      </c>
      <c r="Y114" s="206">
        <f t="shared" si="100"/>
        <v>0</v>
      </c>
    </row>
    <row r="115" spans="2:25" ht="15" hidden="1" customHeight="1" thickBot="1" x14ac:dyDescent="0.25">
      <c r="B115" s="495" t="s">
        <v>306</v>
      </c>
      <c r="C115" s="496" t="s">
        <v>302</v>
      </c>
      <c r="D115" s="540" t="s">
        <v>272</v>
      </c>
      <c r="E115" s="498" t="s">
        <v>305</v>
      </c>
      <c r="F115" s="499">
        <f t="shared" si="64"/>
        <v>3357</v>
      </c>
      <c r="G115" s="205">
        <v>3122</v>
      </c>
      <c r="H115" s="205">
        <v>0</v>
      </c>
      <c r="I115" s="205">
        <v>0</v>
      </c>
      <c r="J115" s="205">
        <v>235</v>
      </c>
      <c r="K115" s="499">
        <f t="shared" si="73"/>
        <v>3326</v>
      </c>
      <c r="L115" s="205">
        <v>3091</v>
      </c>
      <c r="M115" s="205">
        <v>0</v>
      </c>
      <c r="N115" s="205">
        <v>0</v>
      </c>
      <c r="O115" s="205">
        <v>235</v>
      </c>
      <c r="P115" s="499">
        <f t="shared" si="74"/>
        <v>2960</v>
      </c>
      <c r="Q115" s="205">
        <v>2781</v>
      </c>
      <c r="R115" s="205">
        <v>0</v>
      </c>
      <c r="S115" s="205">
        <v>0</v>
      </c>
      <c r="T115" s="206">
        <v>179</v>
      </c>
      <c r="U115" s="297">
        <f t="shared" si="96"/>
        <v>-397</v>
      </c>
      <c r="V115" s="205">
        <f t="shared" si="97"/>
        <v>-341</v>
      </c>
      <c r="W115" s="205">
        <f t="shared" si="98"/>
        <v>0</v>
      </c>
      <c r="X115" s="205">
        <f t="shared" si="99"/>
        <v>0</v>
      </c>
      <c r="Y115" s="206">
        <f t="shared" si="100"/>
        <v>-56</v>
      </c>
    </row>
    <row r="116" spans="2:25" ht="15" hidden="1" customHeight="1" thickBot="1" x14ac:dyDescent="0.25">
      <c r="B116" s="495" t="s">
        <v>306</v>
      </c>
      <c r="C116" s="496" t="s">
        <v>277</v>
      </c>
      <c r="D116" s="540" t="s">
        <v>272</v>
      </c>
      <c r="E116" s="498" t="s">
        <v>305</v>
      </c>
      <c r="F116" s="499">
        <f t="shared" si="64"/>
        <v>430</v>
      </c>
      <c r="G116" s="205">
        <v>400</v>
      </c>
      <c r="H116" s="205">
        <v>30</v>
      </c>
      <c r="I116" s="205">
        <v>0</v>
      </c>
      <c r="J116" s="205">
        <v>0</v>
      </c>
      <c r="K116" s="499">
        <f t="shared" si="73"/>
        <v>426</v>
      </c>
      <c r="L116" s="205">
        <v>396</v>
      </c>
      <c r="M116" s="205">
        <v>30</v>
      </c>
      <c r="N116" s="205">
        <v>0</v>
      </c>
      <c r="O116" s="205">
        <v>0</v>
      </c>
      <c r="P116" s="499">
        <f t="shared" si="74"/>
        <v>503</v>
      </c>
      <c r="Q116" s="205">
        <v>473</v>
      </c>
      <c r="R116" s="205">
        <v>30</v>
      </c>
      <c r="S116" s="205">
        <v>0</v>
      </c>
      <c r="T116" s="206"/>
      <c r="U116" s="297">
        <f t="shared" si="96"/>
        <v>73</v>
      </c>
      <c r="V116" s="205">
        <f t="shared" si="97"/>
        <v>73</v>
      </c>
      <c r="W116" s="205">
        <f t="shared" si="98"/>
        <v>0</v>
      </c>
      <c r="X116" s="205">
        <f t="shared" si="99"/>
        <v>0</v>
      </c>
      <c r="Y116" s="206">
        <f t="shared" si="100"/>
        <v>0</v>
      </c>
    </row>
    <row r="117" spans="2:25" ht="15" customHeight="1" thickBot="1" x14ac:dyDescent="0.25">
      <c r="B117" s="539" t="s">
        <v>306</v>
      </c>
      <c r="C117" s="538"/>
      <c r="D117" s="537" t="s">
        <v>272</v>
      </c>
      <c r="E117" s="536" t="s">
        <v>305</v>
      </c>
      <c r="F117" s="505">
        <f t="shared" si="64"/>
        <v>3787</v>
      </c>
      <c r="G117" s="535">
        <f>SUM(G114:G116)</f>
        <v>3522</v>
      </c>
      <c r="H117" s="535">
        <f>SUM(H114:H116)</f>
        <v>30</v>
      </c>
      <c r="I117" s="535">
        <f>SUM(I114:I116)</f>
        <v>0</v>
      </c>
      <c r="J117" s="535">
        <f>SUM(J114:J116)</f>
        <v>235</v>
      </c>
      <c r="K117" s="505">
        <f t="shared" si="73"/>
        <v>3752</v>
      </c>
      <c r="L117" s="535">
        <f t="shared" ref="L117:O117" si="104">SUM(L114:L116)</f>
        <v>3487</v>
      </c>
      <c r="M117" s="535">
        <f t="shared" si="104"/>
        <v>30</v>
      </c>
      <c r="N117" s="535">
        <f t="shared" si="104"/>
        <v>0</v>
      </c>
      <c r="O117" s="535">
        <f t="shared" si="104"/>
        <v>235</v>
      </c>
      <c r="P117" s="505">
        <f t="shared" si="74"/>
        <v>3525</v>
      </c>
      <c r="Q117" s="535">
        <f t="shared" ref="Q117:T117" si="105">SUM(Q114:Q116)</f>
        <v>3316</v>
      </c>
      <c r="R117" s="535">
        <f t="shared" si="105"/>
        <v>30</v>
      </c>
      <c r="S117" s="535">
        <f t="shared" si="105"/>
        <v>0</v>
      </c>
      <c r="T117" s="534">
        <f t="shared" si="105"/>
        <v>179</v>
      </c>
      <c r="U117" s="506">
        <f t="shared" si="96"/>
        <v>-262</v>
      </c>
      <c r="V117" s="535">
        <f t="shared" ref="V117:Y117" si="106">SUM(V114:V116)</f>
        <v>-206</v>
      </c>
      <c r="W117" s="535">
        <f t="shared" si="106"/>
        <v>0</v>
      </c>
      <c r="X117" s="535">
        <f t="shared" si="106"/>
        <v>0</v>
      </c>
      <c r="Y117" s="534">
        <f t="shared" si="106"/>
        <v>-56</v>
      </c>
    </row>
    <row r="118" spans="2:25" ht="15" hidden="1" customHeight="1" thickBot="1" x14ac:dyDescent="0.25">
      <c r="B118" s="495" t="s">
        <v>304</v>
      </c>
      <c r="C118" s="496" t="s">
        <v>302</v>
      </c>
      <c r="D118" s="540" t="s">
        <v>272</v>
      </c>
      <c r="E118" s="498" t="s">
        <v>303</v>
      </c>
      <c r="F118" s="499">
        <f t="shared" si="64"/>
        <v>3228</v>
      </c>
      <c r="G118" s="205">
        <v>2476</v>
      </c>
      <c r="H118" s="205">
        <v>0</v>
      </c>
      <c r="I118" s="205">
        <v>0</v>
      </c>
      <c r="J118" s="205">
        <v>752</v>
      </c>
      <c r="K118" s="499">
        <f t="shared" si="73"/>
        <v>3203</v>
      </c>
      <c r="L118" s="205">
        <f>242427/100</f>
        <v>2424.27</v>
      </c>
      <c r="M118" s="205">
        <f>2673/100</f>
        <v>26.73</v>
      </c>
      <c r="N118" s="205">
        <v>0</v>
      </c>
      <c r="O118" s="205">
        <v>752</v>
      </c>
      <c r="P118" s="499">
        <f t="shared" si="74"/>
        <v>3014</v>
      </c>
      <c r="Q118" s="205">
        <f>2352-16</f>
        <v>2336</v>
      </c>
      <c r="R118" s="205">
        <v>0</v>
      </c>
      <c r="S118" s="205">
        <v>0</v>
      </c>
      <c r="T118" s="206">
        <v>678</v>
      </c>
      <c r="U118" s="297">
        <f t="shared" si="96"/>
        <v>-214</v>
      </c>
      <c r="V118" s="205">
        <f t="shared" si="97"/>
        <v>-140</v>
      </c>
      <c r="W118" s="205">
        <f t="shared" si="98"/>
        <v>0</v>
      </c>
      <c r="X118" s="205">
        <f t="shared" si="99"/>
        <v>0</v>
      </c>
      <c r="Y118" s="206">
        <f t="shared" si="100"/>
        <v>-74</v>
      </c>
    </row>
    <row r="119" spans="2:25" ht="15" hidden="1" customHeight="1" thickBot="1" x14ac:dyDescent="0.25">
      <c r="B119" s="495" t="s">
        <v>304</v>
      </c>
      <c r="C119" s="496" t="s">
        <v>277</v>
      </c>
      <c r="D119" s="540" t="s">
        <v>272</v>
      </c>
      <c r="E119" s="498" t="s">
        <v>303</v>
      </c>
      <c r="F119" s="499">
        <f t="shared" si="64"/>
        <v>73</v>
      </c>
      <c r="G119" s="205">
        <v>67</v>
      </c>
      <c r="H119" s="205">
        <v>0</v>
      </c>
      <c r="I119" s="205">
        <v>0</v>
      </c>
      <c r="J119" s="205">
        <v>6</v>
      </c>
      <c r="K119" s="499">
        <f t="shared" si="73"/>
        <v>72</v>
      </c>
      <c r="L119" s="205">
        <v>66</v>
      </c>
      <c r="M119" s="205">
        <v>0</v>
      </c>
      <c r="N119" s="205">
        <v>0</v>
      </c>
      <c r="O119" s="205">
        <v>6</v>
      </c>
      <c r="P119" s="499">
        <f t="shared" si="74"/>
        <v>64</v>
      </c>
      <c r="Q119" s="205">
        <v>64</v>
      </c>
      <c r="R119" s="205">
        <v>0</v>
      </c>
      <c r="S119" s="205">
        <v>0</v>
      </c>
      <c r="T119" s="206"/>
      <c r="U119" s="297">
        <f t="shared" si="96"/>
        <v>-9</v>
      </c>
      <c r="V119" s="205">
        <f t="shared" si="97"/>
        <v>-3</v>
      </c>
      <c r="W119" s="205">
        <f t="shared" si="98"/>
        <v>0</v>
      </c>
      <c r="X119" s="205">
        <f t="shared" si="99"/>
        <v>0</v>
      </c>
      <c r="Y119" s="206">
        <f t="shared" si="100"/>
        <v>-6</v>
      </c>
    </row>
    <row r="120" spans="2:25" ht="15" hidden="1" customHeight="1" thickBot="1" x14ac:dyDescent="0.25">
      <c r="B120" s="495" t="s">
        <v>304</v>
      </c>
      <c r="C120" s="496" t="s">
        <v>301</v>
      </c>
      <c r="D120" s="540" t="s">
        <v>272</v>
      </c>
      <c r="E120" s="498" t="s">
        <v>303</v>
      </c>
      <c r="F120" s="499">
        <f t="shared" si="64"/>
        <v>670</v>
      </c>
      <c r="G120" s="205">
        <v>554</v>
      </c>
      <c r="H120" s="205">
        <v>0</v>
      </c>
      <c r="I120" s="205">
        <v>0</v>
      </c>
      <c r="J120" s="205">
        <v>116</v>
      </c>
      <c r="K120" s="499">
        <f t="shared" si="73"/>
        <v>664</v>
      </c>
      <c r="L120" s="205">
        <v>548</v>
      </c>
      <c r="M120" s="205">
        <v>0</v>
      </c>
      <c r="N120" s="205">
        <v>0</v>
      </c>
      <c r="O120" s="205">
        <v>116</v>
      </c>
      <c r="P120" s="499">
        <f t="shared" si="74"/>
        <v>526</v>
      </c>
      <c r="Q120" s="205">
        <v>526</v>
      </c>
      <c r="R120" s="205">
        <v>0</v>
      </c>
      <c r="S120" s="205">
        <v>0</v>
      </c>
      <c r="T120" s="206"/>
      <c r="U120" s="297">
        <f t="shared" si="96"/>
        <v>-144</v>
      </c>
      <c r="V120" s="205">
        <f t="shared" si="97"/>
        <v>-28</v>
      </c>
      <c r="W120" s="205">
        <f t="shared" si="98"/>
        <v>0</v>
      </c>
      <c r="X120" s="205">
        <f t="shared" si="99"/>
        <v>0</v>
      </c>
      <c r="Y120" s="206">
        <f t="shared" si="100"/>
        <v>-116</v>
      </c>
    </row>
    <row r="121" spans="2:25" ht="15" customHeight="1" thickBot="1" x14ac:dyDescent="0.25">
      <c r="B121" s="539" t="s">
        <v>304</v>
      </c>
      <c r="C121" s="538"/>
      <c r="D121" s="537" t="s">
        <v>272</v>
      </c>
      <c r="E121" s="536" t="s">
        <v>303</v>
      </c>
      <c r="F121" s="505">
        <f t="shared" si="64"/>
        <v>3971</v>
      </c>
      <c r="G121" s="535">
        <f>SUM(G118:G120)</f>
        <v>3097</v>
      </c>
      <c r="H121" s="535">
        <f>SUM(H118:H120)</f>
        <v>0</v>
      </c>
      <c r="I121" s="535">
        <f>SUM(I118:I120)</f>
        <v>0</v>
      </c>
      <c r="J121" s="535">
        <f>SUM(J118:J120)</f>
        <v>874</v>
      </c>
      <c r="K121" s="505">
        <f t="shared" si="73"/>
        <v>3939</v>
      </c>
      <c r="L121" s="535">
        <f t="shared" ref="L121:O121" si="107">SUM(L118:L120)</f>
        <v>3038.27</v>
      </c>
      <c r="M121" s="535">
        <f t="shared" si="107"/>
        <v>26.73</v>
      </c>
      <c r="N121" s="535">
        <f t="shared" si="107"/>
        <v>0</v>
      </c>
      <c r="O121" s="535">
        <f t="shared" si="107"/>
        <v>874</v>
      </c>
      <c r="P121" s="505">
        <f t="shared" si="74"/>
        <v>3604</v>
      </c>
      <c r="Q121" s="535">
        <f t="shared" ref="Q121:T121" si="108">SUM(Q118:Q120)</f>
        <v>2926</v>
      </c>
      <c r="R121" s="535">
        <f t="shared" si="108"/>
        <v>0</v>
      </c>
      <c r="S121" s="535">
        <f t="shared" si="108"/>
        <v>0</v>
      </c>
      <c r="T121" s="534">
        <f t="shared" si="108"/>
        <v>678</v>
      </c>
      <c r="U121" s="506">
        <f t="shared" si="96"/>
        <v>-367</v>
      </c>
      <c r="V121" s="535">
        <f t="shared" ref="V121:Y121" si="109">SUM(V118:V120)</f>
        <v>-171</v>
      </c>
      <c r="W121" s="535">
        <f t="shared" si="109"/>
        <v>0</v>
      </c>
      <c r="X121" s="535">
        <f t="shared" si="109"/>
        <v>0</v>
      </c>
      <c r="Y121" s="534">
        <f t="shared" si="109"/>
        <v>-196</v>
      </c>
    </row>
    <row r="122" spans="2:25" ht="15" hidden="1" customHeight="1" thickBot="1" x14ac:dyDescent="0.25">
      <c r="B122" s="495" t="s">
        <v>300</v>
      </c>
      <c r="C122" s="496" t="s">
        <v>302</v>
      </c>
      <c r="D122" s="540" t="s">
        <v>272</v>
      </c>
      <c r="E122" s="498" t="s">
        <v>299</v>
      </c>
      <c r="F122" s="499">
        <f t="shared" si="64"/>
        <v>4132</v>
      </c>
      <c r="G122" s="205">
        <v>3700</v>
      </c>
      <c r="H122" s="205">
        <v>0</v>
      </c>
      <c r="I122" s="205">
        <v>0</v>
      </c>
      <c r="J122" s="205">
        <v>432</v>
      </c>
      <c r="K122" s="499">
        <f t="shared" si="73"/>
        <v>4058.0099999999998</v>
      </c>
      <c r="L122" s="205">
        <f>360643/100</f>
        <v>3606.43</v>
      </c>
      <c r="M122" s="205">
        <f>1958/100</f>
        <v>19.579999999999998</v>
      </c>
      <c r="N122" s="205">
        <v>0</v>
      </c>
      <c r="O122" s="205">
        <v>432</v>
      </c>
      <c r="P122" s="499">
        <f t="shared" si="74"/>
        <v>3890</v>
      </c>
      <c r="Q122" s="205">
        <f>3080-26</f>
        <v>3054</v>
      </c>
      <c r="R122" s="205">
        <v>0</v>
      </c>
      <c r="S122" s="205">
        <v>0</v>
      </c>
      <c r="T122" s="206">
        <v>836</v>
      </c>
      <c r="U122" s="297">
        <f t="shared" si="96"/>
        <v>-242</v>
      </c>
      <c r="V122" s="205">
        <f t="shared" si="97"/>
        <v>-646</v>
      </c>
      <c r="W122" s="205">
        <f t="shared" si="98"/>
        <v>0</v>
      </c>
      <c r="X122" s="205">
        <f t="shared" si="99"/>
        <v>0</v>
      </c>
      <c r="Y122" s="206">
        <f t="shared" si="100"/>
        <v>404</v>
      </c>
    </row>
    <row r="123" spans="2:25" ht="15" hidden="1" customHeight="1" thickBot="1" x14ac:dyDescent="0.25">
      <c r="B123" s="495" t="s">
        <v>300</v>
      </c>
      <c r="C123" s="496" t="s">
        <v>277</v>
      </c>
      <c r="D123" s="540" t="s">
        <v>272</v>
      </c>
      <c r="E123" s="498" t="s">
        <v>299</v>
      </c>
      <c r="F123" s="499">
        <f t="shared" si="64"/>
        <v>700</v>
      </c>
      <c r="G123" s="205">
        <v>439</v>
      </c>
      <c r="H123" s="205">
        <v>0</v>
      </c>
      <c r="I123" s="205">
        <v>0</v>
      </c>
      <c r="J123" s="205">
        <v>261</v>
      </c>
      <c r="K123" s="499">
        <f t="shared" si="73"/>
        <v>696</v>
      </c>
      <c r="L123" s="205">
        <v>435</v>
      </c>
      <c r="M123" s="205">
        <v>0</v>
      </c>
      <c r="N123" s="205">
        <v>0</v>
      </c>
      <c r="O123" s="205">
        <v>261</v>
      </c>
      <c r="P123" s="499">
        <f t="shared" si="74"/>
        <v>660</v>
      </c>
      <c r="Q123" s="205">
        <v>660</v>
      </c>
      <c r="R123" s="205">
        <v>0</v>
      </c>
      <c r="S123" s="205">
        <v>0</v>
      </c>
      <c r="T123" s="206"/>
      <c r="U123" s="297">
        <f t="shared" si="96"/>
        <v>-40</v>
      </c>
      <c r="V123" s="205">
        <f t="shared" si="97"/>
        <v>221</v>
      </c>
      <c r="W123" s="205">
        <f t="shared" si="98"/>
        <v>0</v>
      </c>
      <c r="X123" s="205">
        <f t="shared" si="99"/>
        <v>0</v>
      </c>
      <c r="Y123" s="206">
        <f t="shared" si="100"/>
        <v>-261</v>
      </c>
    </row>
    <row r="124" spans="2:25" ht="15" hidden="1" customHeight="1" thickBot="1" x14ac:dyDescent="0.25">
      <c r="B124" s="495" t="s">
        <v>300</v>
      </c>
      <c r="C124" s="496" t="s">
        <v>301</v>
      </c>
      <c r="D124" s="540" t="s">
        <v>272</v>
      </c>
      <c r="E124" s="498" t="s">
        <v>299</v>
      </c>
      <c r="F124" s="499">
        <f t="shared" si="64"/>
        <v>700</v>
      </c>
      <c r="G124" s="205">
        <v>450</v>
      </c>
      <c r="H124" s="205">
        <v>0</v>
      </c>
      <c r="I124" s="205">
        <v>0</v>
      </c>
      <c r="J124" s="205">
        <v>250</v>
      </c>
      <c r="K124" s="499">
        <f t="shared" si="73"/>
        <v>695</v>
      </c>
      <c r="L124" s="205">
        <v>445</v>
      </c>
      <c r="M124" s="205">
        <v>0</v>
      </c>
      <c r="N124" s="205">
        <v>0</v>
      </c>
      <c r="O124" s="205">
        <v>250</v>
      </c>
      <c r="P124" s="499">
        <f t="shared" si="74"/>
        <v>620</v>
      </c>
      <c r="Q124" s="205">
        <v>620</v>
      </c>
      <c r="R124" s="205">
        <v>0</v>
      </c>
      <c r="S124" s="205">
        <v>0</v>
      </c>
      <c r="T124" s="206"/>
      <c r="U124" s="297">
        <f t="shared" si="96"/>
        <v>-80</v>
      </c>
      <c r="V124" s="205">
        <f t="shared" si="97"/>
        <v>170</v>
      </c>
      <c r="W124" s="205">
        <f t="shared" si="98"/>
        <v>0</v>
      </c>
      <c r="X124" s="205">
        <f t="shared" si="99"/>
        <v>0</v>
      </c>
      <c r="Y124" s="206">
        <f t="shared" si="100"/>
        <v>-250</v>
      </c>
    </row>
    <row r="125" spans="2:25" ht="24" customHeight="1" thickBot="1" x14ac:dyDescent="0.25">
      <c r="B125" s="539" t="s">
        <v>300</v>
      </c>
      <c r="C125" s="538"/>
      <c r="D125" s="537" t="s">
        <v>272</v>
      </c>
      <c r="E125" s="536" t="s">
        <v>299</v>
      </c>
      <c r="F125" s="505">
        <f t="shared" si="64"/>
        <v>5532</v>
      </c>
      <c r="G125" s="535">
        <f>SUM(G122:G124)</f>
        <v>4589</v>
      </c>
      <c r="H125" s="535">
        <f>SUM(H122:H124)</f>
        <v>0</v>
      </c>
      <c r="I125" s="535">
        <f>SUM(I122:I124)</f>
        <v>0</v>
      </c>
      <c r="J125" s="535">
        <f>SUM(J122:J124)</f>
        <v>943</v>
      </c>
      <c r="K125" s="505">
        <f t="shared" si="73"/>
        <v>5449.01</v>
      </c>
      <c r="L125" s="535">
        <f t="shared" ref="L125:O125" si="110">SUM(L122:L124)</f>
        <v>4486.43</v>
      </c>
      <c r="M125" s="535">
        <f t="shared" si="110"/>
        <v>19.579999999999998</v>
      </c>
      <c r="N125" s="535">
        <f t="shared" si="110"/>
        <v>0</v>
      </c>
      <c r="O125" s="535">
        <f t="shared" si="110"/>
        <v>943</v>
      </c>
      <c r="P125" s="505">
        <f t="shared" si="74"/>
        <v>5170</v>
      </c>
      <c r="Q125" s="535">
        <f t="shared" ref="Q125:T125" si="111">SUM(Q122:Q124)</f>
        <v>4334</v>
      </c>
      <c r="R125" s="535">
        <f t="shared" si="111"/>
        <v>0</v>
      </c>
      <c r="S125" s="535">
        <f t="shared" si="111"/>
        <v>0</v>
      </c>
      <c r="T125" s="534">
        <f t="shared" si="111"/>
        <v>836</v>
      </c>
      <c r="U125" s="506">
        <f t="shared" si="96"/>
        <v>-362</v>
      </c>
      <c r="V125" s="535">
        <f t="shared" ref="V125:Y125" si="112">SUM(V122:V124)</f>
        <v>-255</v>
      </c>
      <c r="W125" s="535">
        <f t="shared" si="112"/>
        <v>0</v>
      </c>
      <c r="X125" s="535">
        <f t="shared" si="112"/>
        <v>0</v>
      </c>
      <c r="Y125" s="534">
        <f t="shared" si="112"/>
        <v>-107</v>
      </c>
    </row>
    <row r="126" spans="2:25" ht="15" hidden="1" customHeight="1" thickBot="1" x14ac:dyDescent="0.25">
      <c r="B126" s="495" t="s">
        <v>298</v>
      </c>
      <c r="C126" s="496" t="s">
        <v>290</v>
      </c>
      <c r="D126" s="540" t="s">
        <v>272</v>
      </c>
      <c r="E126" s="498" t="s">
        <v>297</v>
      </c>
      <c r="F126" s="499">
        <f t="shared" si="64"/>
        <v>282</v>
      </c>
      <c r="G126" s="205">
        <v>0</v>
      </c>
      <c r="H126" s="205">
        <v>0</v>
      </c>
      <c r="I126" s="205">
        <v>0</v>
      </c>
      <c r="J126" s="205">
        <v>282</v>
      </c>
      <c r="K126" s="499">
        <f t="shared" si="73"/>
        <v>282</v>
      </c>
      <c r="L126" s="205">
        <v>0</v>
      </c>
      <c r="M126" s="205">
        <v>0</v>
      </c>
      <c r="N126" s="205">
        <v>0</v>
      </c>
      <c r="O126" s="205">
        <v>282</v>
      </c>
      <c r="P126" s="499">
        <f t="shared" si="74"/>
        <v>182</v>
      </c>
      <c r="Q126" s="205">
        <v>0</v>
      </c>
      <c r="R126" s="205">
        <v>0</v>
      </c>
      <c r="S126" s="205">
        <v>0</v>
      </c>
      <c r="T126" s="206">
        <v>182</v>
      </c>
      <c r="U126" s="297">
        <f t="shared" si="96"/>
        <v>-100</v>
      </c>
      <c r="V126" s="205">
        <f t="shared" si="97"/>
        <v>0</v>
      </c>
      <c r="W126" s="205">
        <f t="shared" si="98"/>
        <v>0</v>
      </c>
      <c r="X126" s="205">
        <f t="shared" si="99"/>
        <v>0</v>
      </c>
      <c r="Y126" s="206">
        <f t="shared" si="100"/>
        <v>-100</v>
      </c>
    </row>
    <row r="127" spans="2:25" ht="15" customHeight="1" thickBot="1" x14ac:dyDescent="0.25">
      <c r="B127" s="539" t="s">
        <v>298</v>
      </c>
      <c r="C127" s="538"/>
      <c r="D127" s="537" t="s">
        <v>272</v>
      </c>
      <c r="E127" s="536" t="s">
        <v>297</v>
      </c>
      <c r="F127" s="505">
        <f t="shared" si="64"/>
        <v>282</v>
      </c>
      <c r="G127" s="535">
        <f>SUM(G126)</f>
        <v>0</v>
      </c>
      <c r="H127" s="535">
        <f>SUM(H126)</f>
        <v>0</v>
      </c>
      <c r="I127" s="535">
        <f>SUM(I126)</f>
        <v>0</v>
      </c>
      <c r="J127" s="535">
        <f>SUM(J126)</f>
        <v>282</v>
      </c>
      <c r="K127" s="505">
        <f t="shared" si="73"/>
        <v>282</v>
      </c>
      <c r="L127" s="535">
        <f t="shared" ref="L127:O127" si="113">SUM(L126)</f>
        <v>0</v>
      </c>
      <c r="M127" s="535">
        <f t="shared" si="113"/>
        <v>0</v>
      </c>
      <c r="N127" s="535">
        <f t="shared" si="113"/>
        <v>0</v>
      </c>
      <c r="O127" s="535">
        <f t="shared" si="113"/>
        <v>282</v>
      </c>
      <c r="P127" s="505">
        <f t="shared" si="74"/>
        <v>182</v>
      </c>
      <c r="Q127" s="535">
        <f t="shared" ref="Q127:T127" si="114">SUM(Q126)</f>
        <v>0</v>
      </c>
      <c r="R127" s="535">
        <f t="shared" si="114"/>
        <v>0</v>
      </c>
      <c r="S127" s="535">
        <f t="shared" si="114"/>
        <v>0</v>
      </c>
      <c r="T127" s="534">
        <f t="shared" si="114"/>
        <v>182</v>
      </c>
      <c r="U127" s="506">
        <f t="shared" si="96"/>
        <v>-100</v>
      </c>
      <c r="V127" s="535">
        <f t="shared" ref="V127:Y127" si="115">SUM(V126)</f>
        <v>0</v>
      </c>
      <c r="W127" s="535">
        <f t="shared" si="115"/>
        <v>0</v>
      </c>
      <c r="X127" s="535">
        <f t="shared" si="115"/>
        <v>0</v>
      </c>
      <c r="Y127" s="534">
        <f t="shared" si="115"/>
        <v>-100</v>
      </c>
    </row>
    <row r="128" spans="2:25" ht="15" hidden="1" customHeight="1" thickBot="1" x14ac:dyDescent="0.25">
      <c r="B128" s="495" t="s">
        <v>296</v>
      </c>
      <c r="C128" s="496" t="s">
        <v>290</v>
      </c>
      <c r="D128" s="540" t="s">
        <v>272</v>
      </c>
      <c r="E128" s="498" t="s">
        <v>295</v>
      </c>
      <c r="F128" s="499">
        <f t="shared" si="64"/>
        <v>1157</v>
      </c>
      <c r="G128" s="205">
        <v>0</v>
      </c>
      <c r="H128" s="205">
        <v>0</v>
      </c>
      <c r="I128" s="205">
        <v>0</v>
      </c>
      <c r="J128" s="205">
        <v>1157</v>
      </c>
      <c r="K128" s="499">
        <f t="shared" si="73"/>
        <v>1157</v>
      </c>
      <c r="L128" s="205">
        <v>0</v>
      </c>
      <c r="M128" s="205">
        <v>0</v>
      </c>
      <c r="N128" s="205">
        <v>0</v>
      </c>
      <c r="O128" s="205">
        <v>1157</v>
      </c>
      <c r="P128" s="499">
        <f t="shared" si="74"/>
        <v>742</v>
      </c>
      <c r="Q128" s="205">
        <v>0</v>
      </c>
      <c r="R128" s="205">
        <v>0</v>
      </c>
      <c r="S128" s="205">
        <v>0</v>
      </c>
      <c r="T128" s="206">
        <v>742</v>
      </c>
      <c r="U128" s="297">
        <f t="shared" si="96"/>
        <v>-415</v>
      </c>
      <c r="V128" s="205">
        <f t="shared" si="97"/>
        <v>0</v>
      </c>
      <c r="W128" s="205">
        <f t="shared" si="98"/>
        <v>0</v>
      </c>
      <c r="X128" s="205">
        <f t="shared" si="99"/>
        <v>0</v>
      </c>
      <c r="Y128" s="206">
        <f t="shared" si="100"/>
        <v>-415</v>
      </c>
    </row>
    <row r="129" spans="2:25" ht="15" customHeight="1" thickBot="1" x14ac:dyDescent="0.25">
      <c r="B129" s="539" t="s">
        <v>296</v>
      </c>
      <c r="C129" s="538"/>
      <c r="D129" s="537" t="s">
        <v>272</v>
      </c>
      <c r="E129" s="536" t="s">
        <v>295</v>
      </c>
      <c r="F129" s="505">
        <f t="shared" si="64"/>
        <v>1157</v>
      </c>
      <c r="G129" s="535">
        <f>SUM(G128)</f>
        <v>0</v>
      </c>
      <c r="H129" s="535">
        <f>SUM(H128)</f>
        <v>0</v>
      </c>
      <c r="I129" s="535">
        <f>SUM(I128)</f>
        <v>0</v>
      </c>
      <c r="J129" s="535">
        <f>SUM(J128)</f>
        <v>1157</v>
      </c>
      <c r="K129" s="505">
        <f t="shared" si="73"/>
        <v>1157</v>
      </c>
      <c r="L129" s="535">
        <f t="shared" ref="L129:O129" si="116">SUM(L128)</f>
        <v>0</v>
      </c>
      <c r="M129" s="535">
        <f t="shared" si="116"/>
        <v>0</v>
      </c>
      <c r="N129" s="535">
        <f t="shared" si="116"/>
        <v>0</v>
      </c>
      <c r="O129" s="535">
        <f t="shared" si="116"/>
        <v>1157</v>
      </c>
      <c r="P129" s="505">
        <f t="shared" si="74"/>
        <v>742</v>
      </c>
      <c r="Q129" s="535">
        <f t="shared" ref="Q129:T129" si="117">SUM(Q128)</f>
        <v>0</v>
      </c>
      <c r="R129" s="535">
        <f t="shared" si="117"/>
        <v>0</v>
      </c>
      <c r="S129" s="535">
        <f t="shared" si="117"/>
        <v>0</v>
      </c>
      <c r="T129" s="534">
        <f t="shared" si="117"/>
        <v>742</v>
      </c>
      <c r="U129" s="506">
        <f t="shared" si="96"/>
        <v>-415</v>
      </c>
      <c r="V129" s="535">
        <f t="shared" ref="V129:Y129" si="118">SUM(V128)</f>
        <v>0</v>
      </c>
      <c r="W129" s="535">
        <f t="shared" si="118"/>
        <v>0</v>
      </c>
      <c r="X129" s="535">
        <f t="shared" si="118"/>
        <v>0</v>
      </c>
      <c r="Y129" s="534">
        <f t="shared" si="118"/>
        <v>-415</v>
      </c>
    </row>
    <row r="130" spans="2:25" ht="15" hidden="1" customHeight="1" thickBot="1" x14ac:dyDescent="0.25">
      <c r="B130" s="495" t="s">
        <v>294</v>
      </c>
      <c r="C130" s="496" t="s">
        <v>290</v>
      </c>
      <c r="D130" s="540" t="s">
        <v>272</v>
      </c>
      <c r="E130" s="498" t="s">
        <v>293</v>
      </c>
      <c r="F130" s="499">
        <f t="shared" si="64"/>
        <v>120</v>
      </c>
      <c r="G130" s="205">
        <v>0</v>
      </c>
      <c r="H130" s="205">
        <v>0</v>
      </c>
      <c r="I130" s="205">
        <v>0</v>
      </c>
      <c r="J130" s="205">
        <v>120</v>
      </c>
      <c r="K130" s="499">
        <f t="shared" si="73"/>
        <v>120</v>
      </c>
      <c r="L130" s="205">
        <v>0</v>
      </c>
      <c r="M130" s="205">
        <v>0</v>
      </c>
      <c r="N130" s="205">
        <v>0</v>
      </c>
      <c r="O130" s="205">
        <v>120</v>
      </c>
      <c r="P130" s="499">
        <f t="shared" si="74"/>
        <v>83</v>
      </c>
      <c r="Q130" s="205">
        <v>0</v>
      </c>
      <c r="R130" s="205">
        <v>0</v>
      </c>
      <c r="S130" s="205">
        <v>0</v>
      </c>
      <c r="T130" s="206">
        <v>83</v>
      </c>
      <c r="U130" s="297">
        <f t="shared" si="96"/>
        <v>-37</v>
      </c>
      <c r="V130" s="205">
        <f t="shared" si="97"/>
        <v>0</v>
      </c>
      <c r="W130" s="205">
        <f t="shared" si="98"/>
        <v>0</v>
      </c>
      <c r="X130" s="205">
        <f t="shared" si="99"/>
        <v>0</v>
      </c>
      <c r="Y130" s="206">
        <f t="shared" si="100"/>
        <v>-37</v>
      </c>
    </row>
    <row r="131" spans="2:25" ht="15" customHeight="1" thickBot="1" x14ac:dyDescent="0.25">
      <c r="B131" s="539" t="s">
        <v>294</v>
      </c>
      <c r="C131" s="538"/>
      <c r="D131" s="537" t="s">
        <v>272</v>
      </c>
      <c r="E131" s="536" t="s">
        <v>293</v>
      </c>
      <c r="F131" s="505">
        <f t="shared" si="64"/>
        <v>120</v>
      </c>
      <c r="G131" s="535">
        <f>SUM(G130)</f>
        <v>0</v>
      </c>
      <c r="H131" s="535">
        <f>SUM(H130)</f>
        <v>0</v>
      </c>
      <c r="I131" s="535">
        <f>SUM(I130)</f>
        <v>0</v>
      </c>
      <c r="J131" s="535">
        <f>SUM(J130)</f>
        <v>120</v>
      </c>
      <c r="K131" s="505">
        <f t="shared" si="73"/>
        <v>120</v>
      </c>
      <c r="L131" s="535">
        <f t="shared" ref="L131:O131" si="119">SUM(L130)</f>
        <v>0</v>
      </c>
      <c r="M131" s="535">
        <f t="shared" si="119"/>
        <v>0</v>
      </c>
      <c r="N131" s="535">
        <f t="shared" si="119"/>
        <v>0</v>
      </c>
      <c r="O131" s="535">
        <f t="shared" si="119"/>
        <v>120</v>
      </c>
      <c r="P131" s="505">
        <f t="shared" si="74"/>
        <v>83</v>
      </c>
      <c r="Q131" s="535">
        <f t="shared" ref="Q131:T131" si="120">SUM(Q130)</f>
        <v>0</v>
      </c>
      <c r="R131" s="535">
        <f t="shared" si="120"/>
        <v>0</v>
      </c>
      <c r="S131" s="535">
        <f t="shared" si="120"/>
        <v>0</v>
      </c>
      <c r="T131" s="534">
        <f t="shared" si="120"/>
        <v>83</v>
      </c>
      <c r="U131" s="506">
        <f t="shared" si="96"/>
        <v>-37</v>
      </c>
      <c r="V131" s="535">
        <f t="shared" ref="V131:Y131" si="121">SUM(V130)</f>
        <v>0</v>
      </c>
      <c r="W131" s="535">
        <f t="shared" si="121"/>
        <v>0</v>
      </c>
      <c r="X131" s="535">
        <f t="shared" si="121"/>
        <v>0</v>
      </c>
      <c r="Y131" s="534">
        <f t="shared" si="121"/>
        <v>-37</v>
      </c>
    </row>
    <row r="132" spans="2:25" ht="15" hidden="1" customHeight="1" thickBot="1" x14ac:dyDescent="0.25">
      <c r="B132" s="495" t="s">
        <v>292</v>
      </c>
      <c r="C132" s="496" t="s">
        <v>290</v>
      </c>
      <c r="D132" s="540" t="s">
        <v>272</v>
      </c>
      <c r="E132" s="498" t="s">
        <v>291</v>
      </c>
      <c r="F132" s="499">
        <f t="shared" si="64"/>
        <v>145</v>
      </c>
      <c r="G132" s="205">
        <v>0</v>
      </c>
      <c r="H132" s="205">
        <v>0</v>
      </c>
      <c r="I132" s="205">
        <v>0</v>
      </c>
      <c r="J132" s="205">
        <v>145</v>
      </c>
      <c r="K132" s="499">
        <f t="shared" si="73"/>
        <v>145</v>
      </c>
      <c r="L132" s="205">
        <v>0</v>
      </c>
      <c r="M132" s="205">
        <v>0</v>
      </c>
      <c r="N132" s="205">
        <v>0</v>
      </c>
      <c r="O132" s="205">
        <v>145</v>
      </c>
      <c r="P132" s="499">
        <f t="shared" si="74"/>
        <v>73</v>
      </c>
      <c r="Q132" s="205">
        <v>0</v>
      </c>
      <c r="R132" s="205">
        <v>0</v>
      </c>
      <c r="S132" s="205">
        <v>0</v>
      </c>
      <c r="T132" s="206">
        <v>73</v>
      </c>
      <c r="U132" s="297">
        <f t="shared" si="96"/>
        <v>-72</v>
      </c>
      <c r="V132" s="205">
        <f t="shared" si="97"/>
        <v>0</v>
      </c>
      <c r="W132" s="205">
        <f t="shared" si="98"/>
        <v>0</v>
      </c>
      <c r="X132" s="205">
        <f t="shared" si="99"/>
        <v>0</v>
      </c>
      <c r="Y132" s="206">
        <f t="shared" si="100"/>
        <v>-72</v>
      </c>
    </row>
    <row r="133" spans="2:25" ht="23.25" customHeight="1" thickBot="1" x14ac:dyDescent="0.25">
      <c r="B133" s="539" t="s">
        <v>292</v>
      </c>
      <c r="C133" s="538"/>
      <c r="D133" s="537" t="s">
        <v>272</v>
      </c>
      <c r="E133" s="536" t="s">
        <v>291</v>
      </c>
      <c r="F133" s="505">
        <f t="shared" si="64"/>
        <v>145</v>
      </c>
      <c r="G133" s="535">
        <f>SUM(G132)</f>
        <v>0</v>
      </c>
      <c r="H133" s="535">
        <f>SUM(H132)</f>
        <v>0</v>
      </c>
      <c r="I133" s="535">
        <f>SUM(I132)</f>
        <v>0</v>
      </c>
      <c r="J133" s="535">
        <f>SUM(J132)</f>
        <v>145</v>
      </c>
      <c r="K133" s="505">
        <f t="shared" si="73"/>
        <v>145</v>
      </c>
      <c r="L133" s="535">
        <f t="shared" ref="L133:O133" si="122">SUM(L132)</f>
        <v>0</v>
      </c>
      <c r="M133" s="535">
        <f t="shared" si="122"/>
        <v>0</v>
      </c>
      <c r="N133" s="535">
        <f t="shared" si="122"/>
        <v>0</v>
      </c>
      <c r="O133" s="535">
        <f t="shared" si="122"/>
        <v>145</v>
      </c>
      <c r="P133" s="505">
        <f t="shared" si="74"/>
        <v>73</v>
      </c>
      <c r="Q133" s="535">
        <f t="shared" ref="Q133:T133" si="123">SUM(Q132)</f>
        <v>0</v>
      </c>
      <c r="R133" s="535">
        <f t="shared" si="123"/>
        <v>0</v>
      </c>
      <c r="S133" s="535">
        <f t="shared" si="123"/>
        <v>0</v>
      </c>
      <c r="T133" s="534">
        <f t="shared" si="123"/>
        <v>73</v>
      </c>
      <c r="U133" s="506">
        <f t="shared" si="96"/>
        <v>-72</v>
      </c>
      <c r="V133" s="535">
        <f t="shared" ref="V133:Y133" si="124">SUM(V132)</f>
        <v>0</v>
      </c>
      <c r="W133" s="535">
        <f t="shared" si="124"/>
        <v>0</v>
      </c>
      <c r="X133" s="535">
        <f t="shared" si="124"/>
        <v>0</v>
      </c>
      <c r="Y133" s="534">
        <f t="shared" si="124"/>
        <v>-72</v>
      </c>
    </row>
    <row r="134" spans="2:25" ht="15" hidden="1" customHeight="1" thickBot="1" x14ac:dyDescent="0.25">
      <c r="B134" s="495" t="s">
        <v>289</v>
      </c>
      <c r="C134" s="496" t="s">
        <v>290</v>
      </c>
      <c r="D134" s="540" t="s">
        <v>272</v>
      </c>
      <c r="E134" s="498" t="s">
        <v>288</v>
      </c>
      <c r="F134" s="499">
        <f t="shared" si="64"/>
        <v>141</v>
      </c>
      <c r="G134" s="205">
        <v>96</v>
      </c>
      <c r="H134" s="205">
        <v>0</v>
      </c>
      <c r="I134" s="205">
        <v>0</v>
      </c>
      <c r="J134" s="205">
        <v>45</v>
      </c>
      <c r="K134" s="499">
        <f t="shared" si="73"/>
        <v>140</v>
      </c>
      <c r="L134" s="205">
        <v>95</v>
      </c>
      <c r="M134" s="205">
        <v>0</v>
      </c>
      <c r="N134" s="205">
        <v>0</v>
      </c>
      <c r="O134" s="205">
        <v>45</v>
      </c>
      <c r="P134" s="499">
        <f t="shared" si="74"/>
        <v>93</v>
      </c>
      <c r="Q134" s="205">
        <f>91-4</f>
        <v>87</v>
      </c>
      <c r="R134" s="205">
        <v>0</v>
      </c>
      <c r="S134" s="205">
        <v>0</v>
      </c>
      <c r="T134" s="206">
        <v>6</v>
      </c>
      <c r="U134" s="297">
        <f t="shared" si="96"/>
        <v>-48</v>
      </c>
      <c r="V134" s="205">
        <f t="shared" si="97"/>
        <v>-9</v>
      </c>
      <c r="W134" s="205">
        <f t="shared" si="98"/>
        <v>0</v>
      </c>
      <c r="X134" s="205">
        <f t="shared" si="99"/>
        <v>0</v>
      </c>
      <c r="Y134" s="206">
        <f t="shared" si="100"/>
        <v>-39</v>
      </c>
    </row>
    <row r="135" spans="2:25" ht="15" customHeight="1" thickBot="1" x14ac:dyDescent="0.25">
      <c r="B135" s="539" t="s">
        <v>289</v>
      </c>
      <c r="C135" s="538"/>
      <c r="D135" s="537" t="s">
        <v>272</v>
      </c>
      <c r="E135" s="536" t="s">
        <v>288</v>
      </c>
      <c r="F135" s="505">
        <f t="shared" si="64"/>
        <v>141</v>
      </c>
      <c r="G135" s="535">
        <f>SUM(G134)</f>
        <v>96</v>
      </c>
      <c r="H135" s="535">
        <f>SUM(H134)</f>
        <v>0</v>
      </c>
      <c r="I135" s="535">
        <f>SUM(I134)</f>
        <v>0</v>
      </c>
      <c r="J135" s="535">
        <f>SUM(J134)</f>
        <v>45</v>
      </c>
      <c r="K135" s="505">
        <f t="shared" si="73"/>
        <v>140</v>
      </c>
      <c r="L135" s="535">
        <f t="shared" ref="L135:O135" si="125">SUM(L134)</f>
        <v>95</v>
      </c>
      <c r="M135" s="535">
        <f t="shared" si="125"/>
        <v>0</v>
      </c>
      <c r="N135" s="535">
        <f t="shared" si="125"/>
        <v>0</v>
      </c>
      <c r="O135" s="535">
        <f t="shared" si="125"/>
        <v>45</v>
      </c>
      <c r="P135" s="505">
        <f t="shared" si="74"/>
        <v>93</v>
      </c>
      <c r="Q135" s="535">
        <f t="shared" ref="Q135:T135" si="126">SUM(Q134)</f>
        <v>87</v>
      </c>
      <c r="R135" s="535">
        <f t="shared" si="126"/>
        <v>0</v>
      </c>
      <c r="S135" s="535">
        <f t="shared" si="126"/>
        <v>0</v>
      </c>
      <c r="T135" s="534">
        <f t="shared" si="126"/>
        <v>6</v>
      </c>
      <c r="U135" s="506">
        <f t="shared" si="96"/>
        <v>-48</v>
      </c>
      <c r="V135" s="535">
        <f t="shared" ref="V135:Y135" si="127">SUM(V134)</f>
        <v>-9</v>
      </c>
      <c r="W135" s="535">
        <f t="shared" si="127"/>
        <v>0</v>
      </c>
      <c r="X135" s="535">
        <f t="shared" si="127"/>
        <v>0</v>
      </c>
      <c r="Y135" s="534">
        <f t="shared" si="127"/>
        <v>-39</v>
      </c>
    </row>
    <row r="136" spans="2:25" ht="15" hidden="1" customHeight="1" thickBot="1" x14ac:dyDescent="0.25">
      <c r="B136" s="495" t="s">
        <v>287</v>
      </c>
      <c r="C136" s="496" t="s">
        <v>283</v>
      </c>
      <c r="D136" s="540" t="s">
        <v>272</v>
      </c>
      <c r="E136" s="498" t="s">
        <v>286</v>
      </c>
      <c r="F136" s="499">
        <f t="shared" si="64"/>
        <v>1558</v>
      </c>
      <c r="G136" s="205">
        <v>1004</v>
      </c>
      <c r="H136" s="205">
        <v>0</v>
      </c>
      <c r="I136" s="205">
        <v>101</v>
      </c>
      <c r="J136" s="205">
        <v>453</v>
      </c>
      <c r="K136" s="499">
        <f t="shared" si="73"/>
        <v>1548</v>
      </c>
      <c r="L136" s="205">
        <v>994</v>
      </c>
      <c r="M136" s="205">
        <v>0</v>
      </c>
      <c r="N136" s="205">
        <v>101</v>
      </c>
      <c r="O136" s="205">
        <v>453</v>
      </c>
      <c r="P136" s="499">
        <f t="shared" si="74"/>
        <v>1324</v>
      </c>
      <c r="Q136" s="205">
        <f>954-13</f>
        <v>941</v>
      </c>
      <c r="R136" s="205">
        <v>0</v>
      </c>
      <c r="S136" s="205">
        <v>108</v>
      </c>
      <c r="T136" s="206">
        <v>275</v>
      </c>
      <c r="U136" s="297">
        <f t="shared" si="96"/>
        <v>-234</v>
      </c>
      <c r="V136" s="205">
        <f t="shared" si="97"/>
        <v>-63</v>
      </c>
      <c r="W136" s="205">
        <f t="shared" si="98"/>
        <v>0</v>
      </c>
      <c r="X136" s="205">
        <f t="shared" si="99"/>
        <v>7</v>
      </c>
      <c r="Y136" s="206">
        <f t="shared" si="100"/>
        <v>-178</v>
      </c>
    </row>
    <row r="137" spans="2:25" ht="15" customHeight="1" thickBot="1" x14ac:dyDescent="0.25">
      <c r="B137" s="539" t="s">
        <v>287</v>
      </c>
      <c r="C137" s="538"/>
      <c r="D137" s="537" t="s">
        <v>272</v>
      </c>
      <c r="E137" s="536" t="s">
        <v>286</v>
      </c>
      <c r="F137" s="505">
        <f t="shared" si="64"/>
        <v>1558</v>
      </c>
      <c r="G137" s="535">
        <f>SUM(G136)</f>
        <v>1004</v>
      </c>
      <c r="H137" s="535">
        <f>SUM(H136)</f>
        <v>0</v>
      </c>
      <c r="I137" s="535">
        <f>SUM(I136)</f>
        <v>101</v>
      </c>
      <c r="J137" s="535">
        <f>SUM(J136)</f>
        <v>453</v>
      </c>
      <c r="K137" s="505">
        <f t="shared" si="73"/>
        <v>1548</v>
      </c>
      <c r="L137" s="535">
        <f t="shared" ref="L137:O137" si="128">SUM(L136)</f>
        <v>994</v>
      </c>
      <c r="M137" s="535">
        <f t="shared" si="128"/>
        <v>0</v>
      </c>
      <c r="N137" s="535">
        <f t="shared" si="128"/>
        <v>101</v>
      </c>
      <c r="O137" s="535">
        <f t="shared" si="128"/>
        <v>453</v>
      </c>
      <c r="P137" s="505">
        <f t="shared" si="74"/>
        <v>1324</v>
      </c>
      <c r="Q137" s="535">
        <f t="shared" ref="Q137:T137" si="129">SUM(Q136)</f>
        <v>941</v>
      </c>
      <c r="R137" s="535">
        <f t="shared" si="129"/>
        <v>0</v>
      </c>
      <c r="S137" s="535">
        <f t="shared" si="129"/>
        <v>108</v>
      </c>
      <c r="T137" s="534">
        <f t="shared" si="129"/>
        <v>275</v>
      </c>
      <c r="U137" s="506">
        <f t="shared" si="96"/>
        <v>-234</v>
      </c>
      <c r="V137" s="535">
        <f t="shared" ref="V137:Y137" si="130">SUM(V136)</f>
        <v>-63</v>
      </c>
      <c r="W137" s="535">
        <f t="shared" si="130"/>
        <v>0</v>
      </c>
      <c r="X137" s="535">
        <f t="shared" si="130"/>
        <v>7</v>
      </c>
      <c r="Y137" s="534">
        <f t="shared" si="130"/>
        <v>-178</v>
      </c>
    </row>
    <row r="138" spans="2:25" ht="15" hidden="1" customHeight="1" thickBot="1" x14ac:dyDescent="0.25">
      <c r="B138" s="495" t="s">
        <v>285</v>
      </c>
      <c r="C138" s="496" t="s">
        <v>283</v>
      </c>
      <c r="D138" s="540" t="s">
        <v>272</v>
      </c>
      <c r="E138" s="498" t="s">
        <v>284</v>
      </c>
      <c r="F138" s="499">
        <f t="shared" si="64"/>
        <v>255</v>
      </c>
      <c r="G138" s="205">
        <v>252</v>
      </c>
      <c r="H138" s="205">
        <v>0</v>
      </c>
      <c r="I138" s="205">
        <v>0</v>
      </c>
      <c r="J138" s="205">
        <v>3</v>
      </c>
      <c r="K138" s="499">
        <f t="shared" si="73"/>
        <v>252</v>
      </c>
      <c r="L138" s="205">
        <v>249</v>
      </c>
      <c r="M138" s="205">
        <v>0</v>
      </c>
      <c r="N138" s="205">
        <v>0</v>
      </c>
      <c r="O138" s="205">
        <v>3</v>
      </c>
      <c r="P138" s="499">
        <f t="shared" si="74"/>
        <v>242</v>
      </c>
      <c r="Q138" s="205">
        <v>239</v>
      </c>
      <c r="R138" s="205">
        <v>0</v>
      </c>
      <c r="S138" s="205">
        <v>0</v>
      </c>
      <c r="T138" s="206">
        <v>3</v>
      </c>
      <c r="U138" s="297">
        <f t="shared" si="96"/>
        <v>-13</v>
      </c>
      <c r="V138" s="205">
        <f t="shared" si="97"/>
        <v>-13</v>
      </c>
      <c r="W138" s="205">
        <f t="shared" si="98"/>
        <v>0</v>
      </c>
      <c r="X138" s="205">
        <f t="shared" si="99"/>
        <v>0</v>
      </c>
      <c r="Y138" s="206">
        <f t="shared" si="100"/>
        <v>0</v>
      </c>
    </row>
    <row r="139" spans="2:25" ht="15" customHeight="1" thickBot="1" x14ac:dyDescent="0.25">
      <c r="B139" s="539" t="s">
        <v>285</v>
      </c>
      <c r="C139" s="538"/>
      <c r="D139" s="537" t="s">
        <v>272</v>
      </c>
      <c r="E139" s="536" t="s">
        <v>284</v>
      </c>
      <c r="F139" s="505">
        <f t="shared" si="64"/>
        <v>255</v>
      </c>
      <c r="G139" s="535">
        <f>SUM(G138)</f>
        <v>252</v>
      </c>
      <c r="H139" s="535">
        <f>SUM(H138)</f>
        <v>0</v>
      </c>
      <c r="I139" s="535">
        <f>SUM(I138)</f>
        <v>0</v>
      </c>
      <c r="J139" s="535">
        <f>SUM(J138)</f>
        <v>3</v>
      </c>
      <c r="K139" s="505">
        <f t="shared" si="73"/>
        <v>252</v>
      </c>
      <c r="L139" s="535">
        <f t="shared" ref="L139:O139" si="131">SUM(L138)</f>
        <v>249</v>
      </c>
      <c r="M139" s="535">
        <f t="shared" si="131"/>
        <v>0</v>
      </c>
      <c r="N139" s="535">
        <f t="shared" si="131"/>
        <v>0</v>
      </c>
      <c r="O139" s="535">
        <f t="shared" si="131"/>
        <v>3</v>
      </c>
      <c r="P139" s="505">
        <f t="shared" si="74"/>
        <v>242</v>
      </c>
      <c r="Q139" s="535">
        <f t="shared" ref="Q139:T139" si="132">SUM(Q138)</f>
        <v>239</v>
      </c>
      <c r="R139" s="535">
        <f t="shared" si="132"/>
        <v>0</v>
      </c>
      <c r="S139" s="535">
        <f t="shared" si="132"/>
        <v>0</v>
      </c>
      <c r="T139" s="534">
        <f t="shared" si="132"/>
        <v>3</v>
      </c>
      <c r="U139" s="506">
        <f t="shared" si="96"/>
        <v>-13</v>
      </c>
      <c r="V139" s="535">
        <f t="shared" ref="V139:Y139" si="133">SUM(V138)</f>
        <v>-13</v>
      </c>
      <c r="W139" s="535">
        <f t="shared" si="133"/>
        <v>0</v>
      </c>
      <c r="X139" s="535">
        <f t="shared" si="133"/>
        <v>0</v>
      </c>
      <c r="Y139" s="534">
        <f t="shared" si="133"/>
        <v>0</v>
      </c>
    </row>
    <row r="140" spans="2:25" ht="15" hidden="1" customHeight="1" thickBot="1" x14ac:dyDescent="0.25">
      <c r="B140" s="495" t="s">
        <v>282</v>
      </c>
      <c r="C140" s="496" t="s">
        <v>283</v>
      </c>
      <c r="D140" s="540" t="s">
        <v>272</v>
      </c>
      <c r="E140" s="498" t="s">
        <v>281</v>
      </c>
      <c r="F140" s="499">
        <f t="shared" si="64"/>
        <v>445</v>
      </c>
      <c r="G140" s="205">
        <v>389</v>
      </c>
      <c r="H140" s="205">
        <v>0</v>
      </c>
      <c r="I140" s="205">
        <v>0</v>
      </c>
      <c r="J140" s="205">
        <v>56</v>
      </c>
      <c r="K140" s="499">
        <f t="shared" si="73"/>
        <v>441</v>
      </c>
      <c r="L140" s="205">
        <v>385</v>
      </c>
      <c r="M140" s="205">
        <v>0</v>
      </c>
      <c r="N140" s="205">
        <v>0</v>
      </c>
      <c r="O140" s="205">
        <v>56</v>
      </c>
      <c r="P140" s="499">
        <f t="shared" si="74"/>
        <v>418</v>
      </c>
      <c r="Q140" s="205">
        <f>370-2</f>
        <v>368</v>
      </c>
      <c r="R140" s="205">
        <v>0</v>
      </c>
      <c r="S140" s="205">
        <v>0</v>
      </c>
      <c r="T140" s="206">
        <v>50</v>
      </c>
      <c r="U140" s="297">
        <f t="shared" si="96"/>
        <v>-27</v>
      </c>
      <c r="V140" s="205">
        <f t="shared" si="97"/>
        <v>-21</v>
      </c>
      <c r="W140" s="205">
        <f t="shared" si="98"/>
        <v>0</v>
      </c>
      <c r="X140" s="205">
        <f t="shared" si="99"/>
        <v>0</v>
      </c>
      <c r="Y140" s="206">
        <f t="shared" si="100"/>
        <v>-6</v>
      </c>
    </row>
    <row r="141" spans="2:25" ht="15" customHeight="1" thickBot="1" x14ac:dyDescent="0.25">
      <c r="B141" s="539" t="s">
        <v>282</v>
      </c>
      <c r="C141" s="538"/>
      <c r="D141" s="537" t="s">
        <v>272</v>
      </c>
      <c r="E141" s="536" t="s">
        <v>281</v>
      </c>
      <c r="F141" s="505">
        <f t="shared" si="64"/>
        <v>445</v>
      </c>
      <c r="G141" s="535">
        <f>SUM(G140)</f>
        <v>389</v>
      </c>
      <c r="H141" s="535">
        <f>SUM(H140)</f>
        <v>0</v>
      </c>
      <c r="I141" s="535">
        <f>SUM(I140)</f>
        <v>0</v>
      </c>
      <c r="J141" s="535">
        <f>SUM(J140)</f>
        <v>56</v>
      </c>
      <c r="K141" s="505">
        <f t="shared" si="73"/>
        <v>441</v>
      </c>
      <c r="L141" s="535">
        <f t="shared" ref="L141:O141" si="134">SUM(L140)</f>
        <v>385</v>
      </c>
      <c r="M141" s="535">
        <f t="shared" si="134"/>
        <v>0</v>
      </c>
      <c r="N141" s="535">
        <f t="shared" si="134"/>
        <v>0</v>
      </c>
      <c r="O141" s="535">
        <f t="shared" si="134"/>
        <v>56</v>
      </c>
      <c r="P141" s="505">
        <f t="shared" si="74"/>
        <v>418</v>
      </c>
      <c r="Q141" s="535">
        <f t="shared" ref="Q141:T141" si="135">SUM(Q140)</f>
        <v>368</v>
      </c>
      <c r="R141" s="535">
        <f t="shared" si="135"/>
        <v>0</v>
      </c>
      <c r="S141" s="535">
        <f t="shared" si="135"/>
        <v>0</v>
      </c>
      <c r="T141" s="534">
        <f t="shared" si="135"/>
        <v>50</v>
      </c>
      <c r="U141" s="506">
        <f t="shared" si="96"/>
        <v>-27</v>
      </c>
      <c r="V141" s="535">
        <f t="shared" ref="V141:Y141" si="136">SUM(V140)</f>
        <v>-21</v>
      </c>
      <c r="W141" s="535">
        <f t="shared" si="136"/>
        <v>0</v>
      </c>
      <c r="X141" s="535">
        <f t="shared" si="136"/>
        <v>0</v>
      </c>
      <c r="Y141" s="534">
        <f t="shared" si="136"/>
        <v>-6</v>
      </c>
    </row>
    <row r="142" spans="2:25" ht="15" hidden="1" customHeight="1" thickBot="1" x14ac:dyDescent="0.25">
      <c r="B142" s="495" t="s">
        <v>279</v>
      </c>
      <c r="C142" s="496" t="s">
        <v>280</v>
      </c>
      <c r="D142" s="540" t="s">
        <v>272</v>
      </c>
      <c r="E142" s="498" t="s">
        <v>278</v>
      </c>
      <c r="F142" s="499">
        <f t="shared" si="64"/>
        <v>3918</v>
      </c>
      <c r="G142" s="205">
        <v>3307</v>
      </c>
      <c r="H142" s="205">
        <v>0</v>
      </c>
      <c r="I142" s="205">
        <v>0</v>
      </c>
      <c r="J142" s="205">
        <v>611</v>
      </c>
      <c r="K142" s="499">
        <f t="shared" si="73"/>
        <v>3885</v>
      </c>
      <c r="L142" s="205">
        <v>3274</v>
      </c>
      <c r="M142" s="205">
        <v>0</v>
      </c>
      <c r="N142" s="205">
        <v>0</v>
      </c>
      <c r="O142" s="205">
        <v>611</v>
      </c>
      <c r="P142" s="499">
        <f t="shared" si="74"/>
        <v>3629</v>
      </c>
      <c r="Q142" s="205">
        <f>3284-9</f>
        <v>3275</v>
      </c>
      <c r="R142" s="205">
        <v>0</v>
      </c>
      <c r="S142" s="205">
        <v>0</v>
      </c>
      <c r="T142" s="206">
        <v>354</v>
      </c>
      <c r="U142" s="297">
        <f t="shared" si="96"/>
        <v>-289</v>
      </c>
      <c r="V142" s="205">
        <f t="shared" si="97"/>
        <v>-32</v>
      </c>
      <c r="W142" s="205">
        <f t="shared" si="98"/>
        <v>0</v>
      </c>
      <c r="X142" s="205">
        <f t="shared" si="99"/>
        <v>0</v>
      </c>
      <c r="Y142" s="206">
        <f t="shared" si="100"/>
        <v>-257</v>
      </c>
    </row>
    <row r="143" spans="2:25" ht="15" customHeight="1" thickBot="1" x14ac:dyDescent="0.25">
      <c r="B143" s="539" t="s">
        <v>279</v>
      </c>
      <c r="C143" s="538"/>
      <c r="D143" s="537" t="s">
        <v>272</v>
      </c>
      <c r="E143" s="536" t="s">
        <v>278</v>
      </c>
      <c r="F143" s="505">
        <f t="shared" si="64"/>
        <v>3918</v>
      </c>
      <c r="G143" s="535">
        <f>SUM(G142)</f>
        <v>3307</v>
      </c>
      <c r="H143" s="535">
        <f>SUM(H142)</f>
        <v>0</v>
      </c>
      <c r="I143" s="535">
        <f>SUM(I142)</f>
        <v>0</v>
      </c>
      <c r="J143" s="535">
        <f>SUM(J142)</f>
        <v>611</v>
      </c>
      <c r="K143" s="505">
        <f t="shared" si="73"/>
        <v>3885</v>
      </c>
      <c r="L143" s="535">
        <f t="shared" ref="L143:O143" si="137">SUM(L142)</f>
        <v>3274</v>
      </c>
      <c r="M143" s="535">
        <f t="shared" si="137"/>
        <v>0</v>
      </c>
      <c r="N143" s="535">
        <f t="shared" si="137"/>
        <v>0</v>
      </c>
      <c r="O143" s="535">
        <f t="shared" si="137"/>
        <v>611</v>
      </c>
      <c r="P143" s="505">
        <f t="shared" si="74"/>
        <v>3629</v>
      </c>
      <c r="Q143" s="535">
        <f t="shared" ref="Q143:T143" si="138">SUM(Q142)</f>
        <v>3275</v>
      </c>
      <c r="R143" s="535">
        <f t="shared" si="138"/>
        <v>0</v>
      </c>
      <c r="S143" s="535">
        <f t="shared" si="138"/>
        <v>0</v>
      </c>
      <c r="T143" s="534">
        <f t="shared" si="138"/>
        <v>354</v>
      </c>
      <c r="U143" s="506">
        <f t="shared" si="96"/>
        <v>-289</v>
      </c>
      <c r="V143" s="535">
        <f t="shared" ref="V143:Y143" si="139">SUM(V142)</f>
        <v>-32</v>
      </c>
      <c r="W143" s="535">
        <f t="shared" si="139"/>
        <v>0</v>
      </c>
      <c r="X143" s="535">
        <f t="shared" si="139"/>
        <v>0</v>
      </c>
      <c r="Y143" s="534">
        <f t="shared" si="139"/>
        <v>-257</v>
      </c>
    </row>
    <row r="144" spans="2:25" ht="15" hidden="1" customHeight="1" thickBot="1" x14ac:dyDescent="0.25">
      <c r="B144" s="495" t="s">
        <v>276</v>
      </c>
      <c r="C144" s="496" t="s">
        <v>277</v>
      </c>
      <c r="D144" s="540" t="s">
        <v>272</v>
      </c>
      <c r="E144" s="498" t="s">
        <v>275</v>
      </c>
      <c r="F144" s="499">
        <f t="shared" ref="F144:F147" si="140">SUM(G144:J144)</f>
        <v>6520</v>
      </c>
      <c r="G144" s="205">
        <v>2341</v>
      </c>
      <c r="H144" s="205">
        <v>0</v>
      </c>
      <c r="I144" s="205">
        <v>0</v>
      </c>
      <c r="J144" s="205">
        <v>4179</v>
      </c>
      <c r="K144" s="499">
        <f t="shared" si="73"/>
        <v>6564.01</v>
      </c>
      <c r="L144" s="205">
        <f>231572/100</f>
        <v>2315.7199999999998</v>
      </c>
      <c r="M144" s="205">
        <f>6929/100</f>
        <v>69.290000000000006</v>
      </c>
      <c r="N144" s="205">
        <v>0</v>
      </c>
      <c r="O144" s="205">
        <v>4179</v>
      </c>
      <c r="P144" s="499">
        <f t="shared" si="74"/>
        <v>6077</v>
      </c>
      <c r="Q144" s="205">
        <f>2400-28</f>
        <v>2372</v>
      </c>
      <c r="R144" s="205">
        <v>128</v>
      </c>
      <c r="S144" s="205">
        <v>0</v>
      </c>
      <c r="T144" s="206">
        <v>3577</v>
      </c>
      <c r="U144" s="297">
        <f t="shared" ref="U144:U147" si="141">SUM(V144:Y144)</f>
        <v>-443</v>
      </c>
      <c r="V144" s="205">
        <f t="shared" si="97"/>
        <v>31</v>
      </c>
      <c r="W144" s="205">
        <f t="shared" si="98"/>
        <v>128</v>
      </c>
      <c r="X144" s="205">
        <f t="shared" si="99"/>
        <v>0</v>
      </c>
      <c r="Y144" s="206">
        <f t="shared" si="100"/>
        <v>-602</v>
      </c>
    </row>
    <row r="145" spans="2:25" ht="15" customHeight="1" thickBot="1" x14ac:dyDescent="0.25">
      <c r="B145" s="539" t="s">
        <v>276</v>
      </c>
      <c r="C145" s="538"/>
      <c r="D145" s="537" t="s">
        <v>272</v>
      </c>
      <c r="E145" s="536" t="s">
        <v>275</v>
      </c>
      <c r="F145" s="505">
        <f t="shared" si="140"/>
        <v>6520</v>
      </c>
      <c r="G145" s="535">
        <f>SUM(G144)</f>
        <v>2341</v>
      </c>
      <c r="H145" s="535">
        <f>SUM(H144)</f>
        <v>0</v>
      </c>
      <c r="I145" s="535">
        <f>SUM(I144)</f>
        <v>0</v>
      </c>
      <c r="J145" s="535">
        <f>SUM(J144)</f>
        <v>4179</v>
      </c>
      <c r="K145" s="505">
        <f t="shared" si="73"/>
        <v>6564.01</v>
      </c>
      <c r="L145" s="535">
        <f t="shared" ref="L145:O145" si="142">SUM(L144)</f>
        <v>2315.7199999999998</v>
      </c>
      <c r="M145" s="535">
        <f t="shared" si="142"/>
        <v>69.290000000000006</v>
      </c>
      <c r="N145" s="535">
        <f t="shared" si="142"/>
        <v>0</v>
      </c>
      <c r="O145" s="535">
        <f t="shared" si="142"/>
        <v>4179</v>
      </c>
      <c r="P145" s="505">
        <f t="shared" si="74"/>
        <v>6077</v>
      </c>
      <c r="Q145" s="535">
        <f t="shared" ref="Q145:T145" si="143">SUM(Q144)</f>
        <v>2372</v>
      </c>
      <c r="R145" s="535">
        <f t="shared" si="143"/>
        <v>128</v>
      </c>
      <c r="S145" s="535">
        <f t="shared" si="143"/>
        <v>0</v>
      </c>
      <c r="T145" s="534">
        <f t="shared" si="143"/>
        <v>3577</v>
      </c>
      <c r="U145" s="506">
        <f t="shared" si="141"/>
        <v>-443</v>
      </c>
      <c r="V145" s="535">
        <f t="shared" ref="V145:Y145" si="144">SUM(V144)</f>
        <v>31</v>
      </c>
      <c r="W145" s="535">
        <f t="shared" si="144"/>
        <v>128</v>
      </c>
      <c r="X145" s="535">
        <f t="shared" si="144"/>
        <v>0</v>
      </c>
      <c r="Y145" s="534">
        <f t="shared" si="144"/>
        <v>-602</v>
      </c>
    </row>
    <row r="146" spans="2:25" ht="25.5" hidden="1" customHeight="1" thickBot="1" x14ac:dyDescent="0.25">
      <c r="B146" s="495" t="s">
        <v>273</v>
      </c>
      <c r="C146" s="496" t="s">
        <v>274</v>
      </c>
      <c r="D146" s="540" t="s">
        <v>272</v>
      </c>
      <c r="E146" s="498" t="s">
        <v>271</v>
      </c>
      <c r="F146" s="499">
        <f t="shared" si="140"/>
        <v>2693</v>
      </c>
      <c r="G146" s="205">
        <v>2684</v>
      </c>
      <c r="H146" s="205">
        <v>0</v>
      </c>
      <c r="I146" s="205">
        <v>0</v>
      </c>
      <c r="J146" s="205">
        <v>9</v>
      </c>
      <c r="K146" s="499">
        <f t="shared" ref="K146:K147" si="145">SUM(L146:O146)</f>
        <v>2888</v>
      </c>
      <c r="L146" s="205">
        <v>2879</v>
      </c>
      <c r="M146" s="205">
        <v>0</v>
      </c>
      <c r="N146" s="205">
        <v>0</v>
      </c>
      <c r="O146" s="205">
        <v>9</v>
      </c>
      <c r="P146" s="499">
        <f t="shared" ref="P146:P147" si="146">SUM(Q146:T146)</f>
        <v>3200</v>
      </c>
      <c r="Q146" s="205">
        <v>3159</v>
      </c>
      <c r="R146" s="205">
        <v>0</v>
      </c>
      <c r="S146" s="205">
        <v>0</v>
      </c>
      <c r="T146" s="206">
        <v>41</v>
      </c>
      <c r="U146" s="297">
        <f t="shared" si="141"/>
        <v>507</v>
      </c>
      <c r="V146" s="205">
        <f t="shared" si="97"/>
        <v>475</v>
      </c>
      <c r="W146" s="205">
        <f t="shared" si="98"/>
        <v>0</v>
      </c>
      <c r="X146" s="205">
        <f t="shared" si="99"/>
        <v>0</v>
      </c>
      <c r="Y146" s="206">
        <f t="shared" si="100"/>
        <v>32</v>
      </c>
    </row>
    <row r="147" spans="2:25" ht="30" customHeight="1" thickBot="1" x14ac:dyDescent="0.25">
      <c r="B147" s="539" t="s">
        <v>273</v>
      </c>
      <c r="C147" s="538"/>
      <c r="D147" s="537" t="s">
        <v>272</v>
      </c>
      <c r="E147" s="536" t="s">
        <v>271</v>
      </c>
      <c r="F147" s="505">
        <f t="shared" si="140"/>
        <v>2693</v>
      </c>
      <c r="G147" s="535">
        <f>SUM(G146)</f>
        <v>2684</v>
      </c>
      <c r="H147" s="535">
        <f>SUM(H146)</f>
        <v>0</v>
      </c>
      <c r="I147" s="535">
        <f>SUM(I146)</f>
        <v>0</v>
      </c>
      <c r="J147" s="535">
        <f>SUM(J146)</f>
        <v>9</v>
      </c>
      <c r="K147" s="505">
        <f t="shared" si="145"/>
        <v>2888</v>
      </c>
      <c r="L147" s="535">
        <f t="shared" ref="L147:O147" si="147">SUM(L146)</f>
        <v>2879</v>
      </c>
      <c r="M147" s="535">
        <f t="shared" si="147"/>
        <v>0</v>
      </c>
      <c r="N147" s="535">
        <f t="shared" si="147"/>
        <v>0</v>
      </c>
      <c r="O147" s="535">
        <f t="shared" si="147"/>
        <v>9</v>
      </c>
      <c r="P147" s="505">
        <f t="shared" si="146"/>
        <v>3200</v>
      </c>
      <c r="Q147" s="535">
        <f t="shared" ref="Q147:T147" si="148">SUM(Q146)</f>
        <v>3159</v>
      </c>
      <c r="R147" s="535">
        <f t="shared" si="148"/>
        <v>0</v>
      </c>
      <c r="S147" s="535">
        <f t="shared" si="148"/>
        <v>0</v>
      </c>
      <c r="T147" s="534">
        <f t="shared" si="148"/>
        <v>41</v>
      </c>
      <c r="U147" s="506">
        <f t="shared" si="141"/>
        <v>507</v>
      </c>
      <c r="V147" s="535">
        <f t="shared" ref="V147:Y147" si="149">SUM(V146)</f>
        <v>475</v>
      </c>
      <c r="W147" s="535">
        <f t="shared" si="149"/>
        <v>0</v>
      </c>
      <c r="X147" s="535">
        <f t="shared" si="149"/>
        <v>0</v>
      </c>
      <c r="Y147" s="534">
        <f t="shared" si="149"/>
        <v>32</v>
      </c>
    </row>
    <row r="148" spans="2:25" ht="15" customHeight="1" thickBot="1" x14ac:dyDescent="0.25">
      <c r="B148" s="725" t="s">
        <v>270</v>
      </c>
      <c r="C148" s="726"/>
      <c r="D148" s="533"/>
      <c r="E148" s="532" t="s">
        <v>269</v>
      </c>
      <c r="F148" s="530">
        <f t="shared" ref="F148:Y148" si="150">F16+F18+F21+F28+F35+F42+F46+F48+F50+F54+F57+F60+F63+F65+F67+F69+F73+F75+F80+F86+F89+F95+F98+F102+F106+F110+F113+F117+F121+F125+F127+F129+F131+F133+F135+F137+F139+F141+F143+F145+F147</f>
        <v>148843</v>
      </c>
      <c r="G148" s="530">
        <f t="shared" si="150"/>
        <v>108063</v>
      </c>
      <c r="H148" s="530">
        <f t="shared" si="150"/>
        <v>108</v>
      </c>
      <c r="I148" s="530">
        <f t="shared" si="150"/>
        <v>101</v>
      </c>
      <c r="J148" s="530">
        <f t="shared" si="150"/>
        <v>40571</v>
      </c>
      <c r="K148" s="527">
        <f t="shared" si="150"/>
        <v>148308.79</v>
      </c>
      <c r="L148" s="530">
        <f t="shared" si="150"/>
        <v>106774.1</v>
      </c>
      <c r="M148" s="531">
        <f t="shared" si="150"/>
        <v>862.69</v>
      </c>
      <c r="N148" s="530">
        <f t="shared" si="150"/>
        <v>101</v>
      </c>
      <c r="O148" s="530">
        <f t="shared" si="150"/>
        <v>40571</v>
      </c>
      <c r="P148" s="527">
        <f t="shared" si="150"/>
        <v>137144</v>
      </c>
      <c r="Q148" s="531">
        <f t="shared" si="150"/>
        <v>102922</v>
      </c>
      <c r="R148" s="530">
        <f t="shared" si="150"/>
        <v>362</v>
      </c>
      <c r="S148" s="530">
        <f t="shared" si="150"/>
        <v>108</v>
      </c>
      <c r="T148" s="583">
        <f t="shared" si="150"/>
        <v>33752</v>
      </c>
      <c r="U148" s="528">
        <f t="shared" si="150"/>
        <v>-11699</v>
      </c>
      <c r="V148" s="527">
        <f t="shared" si="150"/>
        <v>-5141</v>
      </c>
      <c r="W148" s="527">
        <f t="shared" si="150"/>
        <v>254</v>
      </c>
      <c r="X148" s="527">
        <f t="shared" si="150"/>
        <v>7</v>
      </c>
      <c r="Y148" s="526">
        <f t="shared" si="150"/>
        <v>-6819</v>
      </c>
    </row>
    <row r="149" spans="2:25" hidden="1" x14ac:dyDescent="0.2">
      <c r="P149" s="40">
        <f>P147+P145+P143+P141+P139+P137+P135+P133+P131+P129+P127+P125+P121+P117+P113+P110+P106+P102+P98+P95+P89+P86+P80+P75+P73+P69+P67+P65+P63+P60+P57+P54+P50+P48+P46+P42+P35+P28+P21+P18+P16</f>
        <v>137144</v>
      </c>
    </row>
  </sheetData>
  <mergeCells count="11">
    <mergeCell ref="B148:C148"/>
    <mergeCell ref="F11:J11"/>
    <mergeCell ref="K11:O11"/>
    <mergeCell ref="P11:T11"/>
    <mergeCell ref="U11:Y11"/>
    <mergeCell ref="B12:C12"/>
    <mergeCell ref="G15:J15"/>
    <mergeCell ref="L15:O15"/>
    <mergeCell ref="Q15:T15"/>
    <mergeCell ref="V15:Y15"/>
    <mergeCell ref="R12:T12"/>
  </mergeCells>
  <pageMargins left="0.70866141732283472" right="0.70866141732283472" top="0.78740157480314965" bottom="0.78740157480314965" header="0.31496062992125984" footer="0.31496062992125984"/>
  <pageSetup paperSize="9" scale="67" firstPageNumber="61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  <ignoredErrors>
    <ignoredError sqref="Q4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W104"/>
  <sheetViews>
    <sheetView showGridLines="0" tabSelected="1" topLeftCell="C2" zoomScaleNormal="100" zoomScaleSheetLayoutView="100" workbookViewId="0">
      <selection activeCell="J29" sqref="J29"/>
    </sheetView>
  </sheetViews>
  <sheetFormatPr defaultRowHeight="12.75" x14ac:dyDescent="0.2"/>
  <cols>
    <col min="1" max="1" width="10.7109375" style="24" hidden="1" customWidth="1"/>
    <col min="2" max="2" width="45.7109375" style="24" customWidth="1"/>
    <col min="3" max="3" width="12.7109375" style="40" customWidth="1"/>
    <col min="4" max="7" width="9.7109375" style="40" customWidth="1"/>
    <col min="8" max="8" width="12.7109375" style="40" customWidth="1"/>
    <col min="9" max="12" width="9.7109375" style="40" customWidth="1"/>
    <col min="13" max="13" width="12.7109375" style="40" customWidth="1"/>
    <col min="14" max="14" width="9.7109375" style="210" customWidth="1"/>
    <col min="15" max="17" width="9.7109375" style="40" customWidth="1"/>
    <col min="18" max="18" width="12.7109375" style="40" hidden="1" customWidth="1"/>
    <col min="19" max="22" width="9.7109375" style="40" hidden="1" customWidth="1"/>
    <col min="23" max="23" width="9.140625" style="40"/>
    <col min="24" max="16384" width="9.140625" style="24"/>
  </cols>
  <sheetData>
    <row r="1" spans="1:22" hidden="1" x14ac:dyDescent="0.2"/>
    <row r="2" spans="1:22" ht="21.75" x14ac:dyDescent="0.3">
      <c r="A2" s="68"/>
      <c r="B2" s="69" t="s">
        <v>153</v>
      </c>
      <c r="C2" s="67"/>
      <c r="D2" s="67"/>
      <c r="E2" s="67"/>
      <c r="F2" s="67"/>
      <c r="G2" s="67"/>
      <c r="H2" s="65"/>
      <c r="I2" s="65"/>
      <c r="J2" s="65"/>
      <c r="K2" s="65"/>
      <c r="L2" s="65"/>
      <c r="M2" s="65"/>
      <c r="N2" s="200"/>
      <c r="O2" s="737" t="s">
        <v>246</v>
      </c>
      <c r="P2" s="738"/>
      <c r="Q2" s="738"/>
      <c r="R2" s="65"/>
      <c r="S2" s="65"/>
      <c r="T2" s="66" t="s">
        <v>408</v>
      </c>
      <c r="U2" s="65"/>
      <c r="V2" s="65" t="s">
        <v>246</v>
      </c>
    </row>
    <row r="3" spans="1:22" ht="2.25" customHeight="1" x14ac:dyDescent="0.2"/>
    <row r="4" spans="1:22" hidden="1" x14ac:dyDescent="0.2"/>
    <row r="5" spans="1:22" ht="15.75" x14ac:dyDescent="0.25">
      <c r="A5" s="63"/>
      <c r="B5" s="64" t="s">
        <v>539</v>
      </c>
      <c r="C5" s="64"/>
      <c r="D5" s="61"/>
      <c r="E5" s="61"/>
      <c r="F5" s="61"/>
      <c r="G5" s="61"/>
      <c r="H5" s="60"/>
      <c r="I5" s="60"/>
      <c r="J5" s="60"/>
      <c r="K5" s="60"/>
      <c r="L5" s="60"/>
      <c r="M5" s="60"/>
      <c r="N5" s="201"/>
      <c r="O5" s="60"/>
      <c r="P5" s="60"/>
      <c r="Q5" s="60"/>
      <c r="R5" s="60"/>
      <c r="S5" s="60"/>
      <c r="T5" s="60"/>
      <c r="U5" s="60"/>
      <c r="V5" s="60"/>
    </row>
    <row r="6" spans="1:22" ht="15.75" x14ac:dyDescent="0.25">
      <c r="A6" s="63"/>
      <c r="B6" s="63" t="s">
        <v>161</v>
      </c>
      <c r="C6" s="64"/>
      <c r="D6" s="61"/>
      <c r="E6" s="61"/>
      <c r="F6" s="61"/>
      <c r="G6" s="61"/>
      <c r="H6" s="60"/>
      <c r="I6" s="60"/>
      <c r="J6" s="60"/>
      <c r="K6" s="60"/>
      <c r="L6" s="60"/>
      <c r="M6" s="60"/>
      <c r="N6" s="201"/>
      <c r="O6" s="60"/>
      <c r="P6" s="60"/>
      <c r="Q6" s="60"/>
      <c r="R6" s="60"/>
      <c r="S6" s="60"/>
      <c r="T6" s="60"/>
      <c r="U6" s="60"/>
      <c r="V6" s="60"/>
    </row>
    <row r="7" spans="1:22" ht="6" customHeight="1" x14ac:dyDescent="0.2"/>
    <row r="8" spans="1:22" ht="18" x14ac:dyDescent="0.25">
      <c r="A8" s="59"/>
      <c r="B8" s="551" t="s">
        <v>407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202"/>
      <c r="O8" s="58"/>
      <c r="P8" s="58"/>
      <c r="Q8" s="58"/>
      <c r="R8" s="58"/>
      <c r="S8" s="58"/>
      <c r="T8" s="58"/>
      <c r="U8" s="58"/>
      <c r="V8" s="58"/>
    </row>
    <row r="9" spans="1:22" hidden="1" x14ac:dyDescent="0.2"/>
    <row r="10" spans="1:22" ht="13.5" thickBot="1" x14ac:dyDescent="0.25">
      <c r="A10" s="57"/>
      <c r="B10" s="57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203"/>
      <c r="O10" s="56"/>
      <c r="P10" s="739" t="s">
        <v>4</v>
      </c>
      <c r="Q10" s="740"/>
      <c r="R10" s="56"/>
      <c r="S10" s="56"/>
      <c r="T10" s="56"/>
      <c r="U10" s="56"/>
      <c r="V10" s="56" t="s">
        <v>4</v>
      </c>
    </row>
    <row r="11" spans="1:22" x14ac:dyDescent="0.2">
      <c r="A11" s="248"/>
      <c r="B11" s="248"/>
      <c r="C11" s="727" t="s">
        <v>217</v>
      </c>
      <c r="D11" s="728"/>
      <c r="E11" s="728"/>
      <c r="F11" s="728"/>
      <c r="G11" s="729"/>
      <c r="H11" s="727" t="s">
        <v>372</v>
      </c>
      <c r="I11" s="728"/>
      <c r="J11" s="728"/>
      <c r="K11" s="728"/>
      <c r="L11" s="729"/>
      <c r="M11" s="727" t="s">
        <v>538</v>
      </c>
      <c r="N11" s="728"/>
      <c r="O11" s="728"/>
      <c r="P11" s="728"/>
      <c r="Q11" s="729"/>
      <c r="R11" s="727" t="s">
        <v>5</v>
      </c>
      <c r="S11" s="728"/>
      <c r="T11" s="728"/>
      <c r="U11" s="728"/>
      <c r="V11" s="729"/>
    </row>
    <row r="12" spans="1:22" ht="18" customHeight="1" x14ac:dyDescent="0.2">
      <c r="A12" s="635" t="s">
        <v>7</v>
      </c>
      <c r="B12" s="252" t="s">
        <v>8</v>
      </c>
      <c r="C12" s="255"/>
      <c r="D12" s="254" t="s">
        <v>9</v>
      </c>
      <c r="E12" s="256"/>
      <c r="F12" s="256"/>
      <c r="G12" s="256"/>
      <c r="H12" s="255"/>
      <c r="I12" s="254" t="s">
        <v>9</v>
      </c>
      <c r="J12" s="256"/>
      <c r="K12" s="256"/>
      <c r="L12" s="256"/>
      <c r="M12" s="255"/>
      <c r="N12" s="254" t="s">
        <v>9</v>
      </c>
      <c r="O12" s="735"/>
      <c r="P12" s="735"/>
      <c r="Q12" s="736"/>
      <c r="R12" s="255"/>
      <c r="S12" s="254" t="s">
        <v>9</v>
      </c>
      <c r="T12" s="256"/>
      <c r="U12" s="256"/>
      <c r="V12" s="257"/>
    </row>
    <row r="13" spans="1:22" ht="48" customHeight="1" x14ac:dyDescent="0.2">
      <c r="A13" s="258"/>
      <c r="B13" s="258"/>
      <c r="C13" s="260" t="s">
        <v>10</v>
      </c>
      <c r="D13" s="261" t="s">
        <v>11</v>
      </c>
      <c r="E13" s="261" t="s">
        <v>12</v>
      </c>
      <c r="F13" s="261" t="s">
        <v>13</v>
      </c>
      <c r="G13" s="261" t="s">
        <v>14</v>
      </c>
      <c r="H13" s="260" t="s">
        <v>10</v>
      </c>
      <c r="I13" s="261" t="s">
        <v>11</v>
      </c>
      <c r="J13" s="261" t="s">
        <v>12</v>
      </c>
      <c r="K13" s="261" t="s">
        <v>13</v>
      </c>
      <c r="L13" s="261" t="s">
        <v>14</v>
      </c>
      <c r="M13" s="260" t="s">
        <v>10</v>
      </c>
      <c r="N13" s="261" t="s">
        <v>11</v>
      </c>
      <c r="O13" s="261" t="s">
        <v>12</v>
      </c>
      <c r="P13" s="261" t="s">
        <v>13</v>
      </c>
      <c r="Q13" s="262" t="s">
        <v>14</v>
      </c>
      <c r="R13" s="260" t="s">
        <v>10</v>
      </c>
      <c r="S13" s="261" t="s">
        <v>11</v>
      </c>
      <c r="T13" s="261" t="s">
        <v>12</v>
      </c>
      <c r="U13" s="261" t="s">
        <v>13</v>
      </c>
      <c r="V13" s="262" t="s">
        <v>14</v>
      </c>
    </row>
    <row r="14" spans="1:22" ht="13.5" thickBot="1" x14ac:dyDescent="0.25">
      <c r="A14" s="221"/>
      <c r="B14" s="221"/>
      <c r="C14" s="222"/>
      <c r="D14" s="223" t="s">
        <v>17</v>
      </c>
      <c r="E14" s="223" t="s">
        <v>18</v>
      </c>
      <c r="F14" s="223" t="s">
        <v>19</v>
      </c>
      <c r="G14" s="223" t="s">
        <v>20</v>
      </c>
      <c r="H14" s="222"/>
      <c r="I14" s="223" t="s">
        <v>17</v>
      </c>
      <c r="J14" s="223" t="s">
        <v>18</v>
      </c>
      <c r="K14" s="223" t="s">
        <v>19</v>
      </c>
      <c r="L14" s="223" t="s">
        <v>20</v>
      </c>
      <c r="M14" s="222"/>
      <c r="N14" s="223" t="s">
        <v>17</v>
      </c>
      <c r="O14" s="223" t="s">
        <v>18</v>
      </c>
      <c r="P14" s="223" t="s">
        <v>19</v>
      </c>
      <c r="Q14" s="249" t="s">
        <v>20</v>
      </c>
      <c r="R14" s="222"/>
      <c r="S14" s="223" t="s">
        <v>17</v>
      </c>
      <c r="T14" s="223" t="s">
        <v>18</v>
      </c>
      <c r="U14" s="223" t="s">
        <v>19</v>
      </c>
      <c r="V14" s="249" t="s">
        <v>20</v>
      </c>
    </row>
    <row r="15" spans="1:22" ht="13.5" thickBot="1" x14ac:dyDescent="0.25">
      <c r="A15" s="221"/>
      <c r="B15" s="221"/>
      <c r="C15" s="267" t="s">
        <v>21</v>
      </c>
      <c r="D15" s="732" t="s">
        <v>21</v>
      </c>
      <c r="E15" s="733"/>
      <c r="F15" s="733"/>
      <c r="G15" s="734"/>
      <c r="H15" s="267" t="s">
        <v>21</v>
      </c>
      <c r="I15" s="732" t="s">
        <v>21</v>
      </c>
      <c r="J15" s="733"/>
      <c r="K15" s="733"/>
      <c r="L15" s="734"/>
      <c r="M15" s="267" t="s">
        <v>21</v>
      </c>
      <c r="N15" s="732" t="s">
        <v>21</v>
      </c>
      <c r="O15" s="733"/>
      <c r="P15" s="733"/>
      <c r="Q15" s="734"/>
      <c r="R15" s="222"/>
      <c r="S15" s="223"/>
      <c r="T15" s="223"/>
      <c r="U15" s="223"/>
      <c r="V15" s="249"/>
    </row>
    <row r="16" spans="1:22" ht="15" hidden="1" thickBot="1" x14ac:dyDescent="0.25">
      <c r="A16" s="560" t="s">
        <v>378</v>
      </c>
      <c r="B16" s="44" t="s">
        <v>406</v>
      </c>
      <c r="C16" s="43">
        <f t="shared" ref="C16:C47" si="0">SUM(D16:G16)</f>
        <v>622</v>
      </c>
      <c r="D16" s="42">
        <v>622</v>
      </c>
      <c r="E16" s="42">
        <v>0</v>
      </c>
      <c r="F16" s="42">
        <v>0</v>
      </c>
      <c r="G16" s="42">
        <v>0</v>
      </c>
      <c r="H16" s="43">
        <f>SUM(I16:L16)</f>
        <v>616</v>
      </c>
      <c r="I16" s="42">
        <v>616</v>
      </c>
      <c r="J16" s="42">
        <v>0</v>
      </c>
      <c r="K16" s="42">
        <v>0</v>
      </c>
      <c r="L16" s="42">
        <v>0</v>
      </c>
      <c r="M16" s="43">
        <f>SUM(N16:Q16)</f>
        <v>590</v>
      </c>
      <c r="N16" s="205">
        <f>591-1</f>
        <v>590</v>
      </c>
      <c r="O16" s="42">
        <v>0</v>
      </c>
      <c r="P16" s="42">
        <v>0</v>
      </c>
      <c r="Q16" s="206"/>
      <c r="R16" s="43">
        <f>SUM(S16:V16)</f>
        <v>-32</v>
      </c>
      <c r="S16" s="42">
        <f t="shared" ref="S16:S47" si="1">N16-D16</f>
        <v>-32</v>
      </c>
      <c r="T16" s="42">
        <f t="shared" ref="T16:T47" si="2">O16-E16</f>
        <v>0</v>
      </c>
      <c r="U16" s="42">
        <f t="shared" ref="U16:U47" si="3">P16-F16</f>
        <v>0</v>
      </c>
      <c r="V16" s="41">
        <f t="shared" ref="V16:V47" si="4">Q16-G16</f>
        <v>0</v>
      </c>
    </row>
    <row r="17" spans="1:23" ht="15.75" thickBot="1" x14ac:dyDescent="0.25">
      <c r="A17" s="557" t="s">
        <v>378</v>
      </c>
      <c r="B17" s="556" t="s">
        <v>406</v>
      </c>
      <c r="C17" s="527">
        <f t="shared" si="0"/>
        <v>622</v>
      </c>
      <c r="D17" s="555">
        <f>SUM(D16)</f>
        <v>622</v>
      </c>
      <c r="E17" s="555">
        <f>SUM(E16)</f>
        <v>0</v>
      </c>
      <c r="F17" s="555">
        <f>SUM(F16)</f>
        <v>0</v>
      </c>
      <c r="G17" s="555">
        <f>SUM(G16)</f>
        <v>0</v>
      </c>
      <c r="H17" s="527">
        <f t="shared" ref="H17:H80" si="5">SUM(I17:L17)</f>
        <v>616</v>
      </c>
      <c r="I17" s="555">
        <f>SUM(I16)</f>
        <v>616</v>
      </c>
      <c r="J17" s="555">
        <f>SUM(J16)</f>
        <v>0</v>
      </c>
      <c r="K17" s="555">
        <f>SUM(K16)</f>
        <v>0</v>
      </c>
      <c r="L17" s="555">
        <f>SUM(L16)</f>
        <v>0</v>
      </c>
      <c r="M17" s="527">
        <f>SUM(N17:Q17)</f>
        <v>590</v>
      </c>
      <c r="N17" s="535">
        <f>SUM(N16)</f>
        <v>590</v>
      </c>
      <c r="O17" s="555">
        <f>SUM(O16)</f>
        <v>0</v>
      </c>
      <c r="P17" s="555">
        <f>SUM(P16)</f>
        <v>0</v>
      </c>
      <c r="Q17" s="534">
        <f>SUM(Q16)</f>
        <v>0</v>
      </c>
      <c r="R17" s="527">
        <f t="shared" ref="R17:R47" si="6">SUM(S17:V17)</f>
        <v>-32</v>
      </c>
      <c r="S17" s="553">
        <f t="shared" si="1"/>
        <v>-32</v>
      </c>
      <c r="T17" s="553">
        <f t="shared" si="2"/>
        <v>0</v>
      </c>
      <c r="U17" s="553">
        <f t="shared" si="3"/>
        <v>0</v>
      </c>
      <c r="V17" s="552">
        <f t="shared" si="4"/>
        <v>0</v>
      </c>
    </row>
    <row r="18" spans="1:23" ht="15" hidden="1" thickBot="1" x14ac:dyDescent="0.25">
      <c r="A18" s="560" t="s">
        <v>378</v>
      </c>
      <c r="B18" s="44" t="s">
        <v>405</v>
      </c>
      <c r="C18" s="43">
        <f t="shared" si="0"/>
        <v>45</v>
      </c>
      <c r="D18" s="563">
        <v>45</v>
      </c>
      <c r="E18" s="563">
        <v>0</v>
      </c>
      <c r="F18" s="563">
        <v>0</v>
      </c>
      <c r="G18" s="563">
        <v>0</v>
      </c>
      <c r="H18" s="43">
        <f t="shared" si="5"/>
        <v>45</v>
      </c>
      <c r="I18" s="563">
        <v>45</v>
      </c>
      <c r="J18" s="563">
        <v>0</v>
      </c>
      <c r="K18" s="563">
        <v>0</v>
      </c>
      <c r="L18" s="563">
        <v>0</v>
      </c>
      <c r="M18" s="43">
        <f>SUM(N18:Q18)</f>
        <v>0</v>
      </c>
      <c r="N18" s="546">
        <v>0</v>
      </c>
      <c r="O18" s="563">
        <v>0</v>
      </c>
      <c r="P18" s="563">
        <v>0</v>
      </c>
      <c r="Q18" s="584"/>
      <c r="R18" s="43">
        <f t="shared" si="6"/>
        <v>-45</v>
      </c>
      <c r="S18" s="42">
        <f t="shared" si="1"/>
        <v>-45</v>
      </c>
      <c r="T18" s="42">
        <f t="shared" si="2"/>
        <v>0</v>
      </c>
      <c r="U18" s="42">
        <f t="shared" si="3"/>
        <v>0</v>
      </c>
      <c r="V18" s="41">
        <f t="shared" si="4"/>
        <v>0</v>
      </c>
      <c r="W18" s="562"/>
    </row>
    <row r="19" spans="1:23" ht="15" hidden="1" thickBot="1" x14ac:dyDescent="0.25">
      <c r="A19" s="560" t="s">
        <v>378</v>
      </c>
      <c r="B19" s="44" t="s">
        <v>405</v>
      </c>
      <c r="C19" s="43">
        <f t="shared" si="0"/>
        <v>2500</v>
      </c>
      <c r="D19" s="42">
        <v>2108</v>
      </c>
      <c r="E19" s="42">
        <v>0</v>
      </c>
      <c r="F19" s="42">
        <v>0</v>
      </c>
      <c r="G19" s="42">
        <v>392</v>
      </c>
      <c r="H19" s="43">
        <f t="shared" si="5"/>
        <v>2479</v>
      </c>
      <c r="I19" s="42">
        <v>2087</v>
      </c>
      <c r="J19" s="42">
        <v>0</v>
      </c>
      <c r="K19" s="42">
        <v>0</v>
      </c>
      <c r="L19" s="42">
        <v>392</v>
      </c>
      <c r="M19" s="43">
        <f t="shared" ref="M19:M80" si="7">SUM(N19:Q19)</f>
        <v>2233</v>
      </c>
      <c r="N19" s="205">
        <f>1989-6</f>
        <v>1983</v>
      </c>
      <c r="O19" s="42">
        <v>0</v>
      </c>
      <c r="P19" s="42">
        <v>0</v>
      </c>
      <c r="Q19" s="206">
        <v>250</v>
      </c>
      <c r="R19" s="43">
        <f t="shared" si="6"/>
        <v>-267</v>
      </c>
      <c r="S19" s="42">
        <f t="shared" si="1"/>
        <v>-125</v>
      </c>
      <c r="T19" s="42">
        <f t="shared" si="2"/>
        <v>0</v>
      </c>
      <c r="U19" s="42">
        <f t="shared" si="3"/>
        <v>0</v>
      </c>
      <c r="V19" s="41">
        <f t="shared" si="4"/>
        <v>-142</v>
      </c>
    </row>
    <row r="20" spans="1:23" ht="15" hidden="1" thickBot="1" x14ac:dyDescent="0.25">
      <c r="A20" s="560" t="s">
        <v>378</v>
      </c>
      <c r="B20" s="44" t="s">
        <v>405</v>
      </c>
      <c r="C20" s="43">
        <f t="shared" si="0"/>
        <v>40</v>
      </c>
      <c r="D20" s="42">
        <v>40</v>
      </c>
      <c r="E20" s="42">
        <v>0</v>
      </c>
      <c r="F20" s="42">
        <v>0</v>
      </c>
      <c r="G20" s="42">
        <v>0</v>
      </c>
      <c r="H20" s="43">
        <f t="shared" si="5"/>
        <v>40</v>
      </c>
      <c r="I20" s="42">
        <v>40</v>
      </c>
      <c r="J20" s="42">
        <v>0</v>
      </c>
      <c r="K20" s="42">
        <v>0</v>
      </c>
      <c r="L20" s="42">
        <v>0</v>
      </c>
      <c r="M20" s="43">
        <f t="shared" si="7"/>
        <v>96</v>
      </c>
      <c r="N20" s="205">
        <v>96</v>
      </c>
      <c r="O20" s="42">
        <v>0</v>
      </c>
      <c r="P20" s="42">
        <v>0</v>
      </c>
      <c r="Q20" s="206"/>
      <c r="R20" s="43">
        <f t="shared" si="6"/>
        <v>56</v>
      </c>
      <c r="S20" s="42">
        <f t="shared" si="1"/>
        <v>56</v>
      </c>
      <c r="T20" s="42">
        <f t="shared" si="2"/>
        <v>0</v>
      </c>
      <c r="U20" s="42">
        <f t="shared" si="3"/>
        <v>0</v>
      </c>
      <c r="V20" s="41">
        <f t="shared" si="4"/>
        <v>0</v>
      </c>
    </row>
    <row r="21" spans="1:23" ht="15" hidden="1" thickBot="1" x14ac:dyDescent="0.25">
      <c r="A21" s="560" t="s">
        <v>378</v>
      </c>
      <c r="B21" s="44" t="s">
        <v>405</v>
      </c>
      <c r="C21" s="43">
        <f t="shared" si="0"/>
        <v>2</v>
      </c>
      <c r="D21" s="561">
        <v>2</v>
      </c>
      <c r="E21" s="561">
        <v>0</v>
      </c>
      <c r="F21" s="561">
        <v>0</v>
      </c>
      <c r="G21" s="561">
        <v>0</v>
      </c>
      <c r="H21" s="43">
        <f t="shared" si="5"/>
        <v>2</v>
      </c>
      <c r="I21" s="561">
        <v>2</v>
      </c>
      <c r="J21" s="561">
        <v>0</v>
      </c>
      <c r="K21" s="561">
        <v>0</v>
      </c>
      <c r="L21" s="561">
        <v>0</v>
      </c>
      <c r="M21" s="43">
        <f t="shared" si="7"/>
        <v>0</v>
      </c>
      <c r="N21" s="542">
        <v>0</v>
      </c>
      <c r="O21" s="561">
        <v>0</v>
      </c>
      <c r="P21" s="561">
        <v>0</v>
      </c>
      <c r="Q21" s="541"/>
      <c r="R21" s="43">
        <f t="shared" si="6"/>
        <v>-2</v>
      </c>
      <c r="S21" s="42">
        <f t="shared" si="1"/>
        <v>-2</v>
      </c>
      <c r="T21" s="42">
        <f t="shared" si="2"/>
        <v>0</v>
      </c>
      <c r="U21" s="42">
        <f t="shared" si="3"/>
        <v>0</v>
      </c>
      <c r="V21" s="41">
        <f t="shared" si="4"/>
        <v>0</v>
      </c>
    </row>
    <row r="22" spans="1:23" ht="15.75" thickBot="1" x14ac:dyDescent="0.25">
      <c r="A22" s="557" t="s">
        <v>378</v>
      </c>
      <c r="B22" s="556" t="s">
        <v>405</v>
      </c>
      <c r="C22" s="527">
        <f t="shared" si="0"/>
        <v>2587</v>
      </c>
      <c r="D22" s="555">
        <f>SUM(D18:D21)</f>
        <v>2195</v>
      </c>
      <c r="E22" s="555">
        <f>SUM(E18:E21)</f>
        <v>0</v>
      </c>
      <c r="F22" s="555">
        <f>SUM(F18:F21)</f>
        <v>0</v>
      </c>
      <c r="G22" s="555">
        <f>SUM(G18:G21)</f>
        <v>392</v>
      </c>
      <c r="H22" s="527">
        <f t="shared" si="5"/>
        <v>2566</v>
      </c>
      <c r="I22" s="555">
        <f>SUM(I18:I21)</f>
        <v>2174</v>
      </c>
      <c r="J22" s="555">
        <f>SUM(J18:J21)</f>
        <v>0</v>
      </c>
      <c r="K22" s="555">
        <f>SUM(K18:K21)</f>
        <v>0</v>
      </c>
      <c r="L22" s="555">
        <f>SUM(L18:L21)</f>
        <v>392</v>
      </c>
      <c r="M22" s="527">
        <f t="shared" si="7"/>
        <v>2329</v>
      </c>
      <c r="N22" s="535">
        <f>SUM(N18:N21)</f>
        <v>2079</v>
      </c>
      <c r="O22" s="555">
        <f>SUM(O18:O21)</f>
        <v>0</v>
      </c>
      <c r="P22" s="555">
        <f>SUM(P18:P21)</f>
        <v>0</v>
      </c>
      <c r="Q22" s="534">
        <f>SUM(Q18:Q21)</f>
        <v>250</v>
      </c>
      <c r="R22" s="527">
        <f t="shared" si="6"/>
        <v>-258</v>
      </c>
      <c r="S22" s="553">
        <f t="shared" si="1"/>
        <v>-116</v>
      </c>
      <c r="T22" s="553">
        <f t="shared" si="2"/>
        <v>0</v>
      </c>
      <c r="U22" s="553">
        <f t="shared" si="3"/>
        <v>0</v>
      </c>
      <c r="V22" s="552">
        <f t="shared" si="4"/>
        <v>-142</v>
      </c>
    </row>
    <row r="23" spans="1:23" ht="15" hidden="1" thickBot="1" x14ac:dyDescent="0.25">
      <c r="A23" s="560" t="s">
        <v>378</v>
      </c>
      <c r="B23" s="44" t="s">
        <v>404</v>
      </c>
      <c r="C23" s="43">
        <f t="shared" si="0"/>
        <v>2019</v>
      </c>
      <c r="D23" s="42">
        <v>2019</v>
      </c>
      <c r="E23" s="42">
        <v>0</v>
      </c>
      <c r="F23" s="42">
        <v>0</v>
      </c>
      <c r="G23" s="42">
        <v>0</v>
      </c>
      <c r="H23" s="43">
        <f t="shared" si="5"/>
        <v>1999</v>
      </c>
      <c r="I23" s="42">
        <v>1999</v>
      </c>
      <c r="J23" s="42">
        <v>0</v>
      </c>
      <c r="K23" s="42">
        <v>0</v>
      </c>
      <c r="L23" s="42">
        <v>0</v>
      </c>
      <c r="M23" s="43">
        <f t="shared" si="7"/>
        <v>1917</v>
      </c>
      <c r="N23" s="205">
        <v>1912</v>
      </c>
      <c r="O23" s="42">
        <v>0</v>
      </c>
      <c r="P23" s="42">
        <v>0</v>
      </c>
      <c r="Q23" s="206">
        <v>5</v>
      </c>
      <c r="R23" s="43">
        <f t="shared" si="6"/>
        <v>-102</v>
      </c>
      <c r="S23" s="42">
        <f t="shared" si="1"/>
        <v>-107</v>
      </c>
      <c r="T23" s="42">
        <f t="shared" si="2"/>
        <v>0</v>
      </c>
      <c r="U23" s="42">
        <f t="shared" si="3"/>
        <v>0</v>
      </c>
      <c r="V23" s="41">
        <f t="shared" si="4"/>
        <v>5</v>
      </c>
    </row>
    <row r="24" spans="1:23" ht="15" hidden="1" thickBot="1" x14ac:dyDescent="0.25">
      <c r="A24" s="560" t="s">
        <v>378</v>
      </c>
      <c r="B24" s="44" t="s">
        <v>404</v>
      </c>
      <c r="C24" s="43">
        <f t="shared" si="0"/>
        <v>15</v>
      </c>
      <c r="D24" s="42">
        <v>15</v>
      </c>
      <c r="E24" s="42">
        <v>0</v>
      </c>
      <c r="F24" s="42">
        <v>0</v>
      </c>
      <c r="G24" s="42">
        <v>0</v>
      </c>
      <c r="H24" s="43">
        <f t="shared" si="5"/>
        <v>15</v>
      </c>
      <c r="I24" s="42">
        <v>15</v>
      </c>
      <c r="J24" s="42">
        <v>0</v>
      </c>
      <c r="K24" s="42">
        <v>0</v>
      </c>
      <c r="L24" s="42">
        <v>0</v>
      </c>
      <c r="M24" s="43">
        <f t="shared" si="7"/>
        <v>20</v>
      </c>
      <c r="N24" s="205">
        <v>20</v>
      </c>
      <c r="O24" s="42">
        <v>0</v>
      </c>
      <c r="P24" s="42">
        <v>0</v>
      </c>
      <c r="Q24" s="206"/>
      <c r="R24" s="43">
        <f t="shared" si="6"/>
        <v>5</v>
      </c>
      <c r="S24" s="42">
        <f t="shared" si="1"/>
        <v>5</v>
      </c>
      <c r="T24" s="42">
        <f t="shared" si="2"/>
        <v>0</v>
      </c>
      <c r="U24" s="42">
        <f t="shared" si="3"/>
        <v>0</v>
      </c>
      <c r="V24" s="41">
        <f t="shared" si="4"/>
        <v>0</v>
      </c>
    </row>
    <row r="25" spans="1:23" ht="15.75" thickBot="1" x14ac:dyDescent="0.25">
      <c r="A25" s="557" t="s">
        <v>378</v>
      </c>
      <c r="B25" s="556" t="s">
        <v>404</v>
      </c>
      <c r="C25" s="527">
        <f t="shared" si="0"/>
        <v>2034</v>
      </c>
      <c r="D25" s="555">
        <f>SUM(D23:D24)</f>
        <v>2034</v>
      </c>
      <c r="E25" s="555">
        <f>SUM(E23:E24)</f>
        <v>0</v>
      </c>
      <c r="F25" s="555">
        <f>SUM(F23:F24)</f>
        <v>0</v>
      </c>
      <c r="G25" s="555">
        <f>SUM(G23:G24)</f>
        <v>0</v>
      </c>
      <c r="H25" s="527">
        <f t="shared" si="5"/>
        <v>2014</v>
      </c>
      <c r="I25" s="555">
        <f>SUM(I23:I24)</f>
        <v>2014</v>
      </c>
      <c r="J25" s="555">
        <f>SUM(J23:J24)</f>
        <v>0</v>
      </c>
      <c r="K25" s="555">
        <f>SUM(K23:K24)</f>
        <v>0</v>
      </c>
      <c r="L25" s="555">
        <f>SUM(L23:L24)</f>
        <v>0</v>
      </c>
      <c r="M25" s="527">
        <f t="shared" si="7"/>
        <v>1937</v>
      </c>
      <c r="N25" s="535">
        <f>SUM(N23:N24)</f>
        <v>1932</v>
      </c>
      <c r="O25" s="555">
        <f>SUM(O23:O24)</f>
        <v>0</v>
      </c>
      <c r="P25" s="555">
        <f>SUM(P23:P24)</f>
        <v>0</v>
      </c>
      <c r="Q25" s="534">
        <f>SUM(Q23:Q24)</f>
        <v>5</v>
      </c>
      <c r="R25" s="527">
        <f t="shared" si="6"/>
        <v>-97</v>
      </c>
      <c r="S25" s="553">
        <f t="shared" si="1"/>
        <v>-102</v>
      </c>
      <c r="T25" s="553">
        <f t="shared" si="2"/>
        <v>0</v>
      </c>
      <c r="U25" s="553">
        <f t="shared" si="3"/>
        <v>0</v>
      </c>
      <c r="V25" s="552">
        <f t="shared" si="4"/>
        <v>5</v>
      </c>
    </row>
    <row r="26" spans="1:23" ht="15" hidden="1" thickBot="1" x14ac:dyDescent="0.25">
      <c r="A26" s="560" t="s">
        <v>378</v>
      </c>
      <c r="B26" s="44" t="s">
        <v>403</v>
      </c>
      <c r="C26" s="43">
        <f t="shared" si="0"/>
        <v>1134</v>
      </c>
      <c r="D26" s="42">
        <v>575</v>
      </c>
      <c r="E26" s="42">
        <v>0</v>
      </c>
      <c r="F26" s="42">
        <v>0</v>
      </c>
      <c r="G26" s="42">
        <v>559</v>
      </c>
      <c r="H26" s="43">
        <f t="shared" si="5"/>
        <v>1128</v>
      </c>
      <c r="I26" s="42">
        <v>569</v>
      </c>
      <c r="J26" s="42">
        <v>0</v>
      </c>
      <c r="K26" s="42">
        <v>0</v>
      </c>
      <c r="L26" s="42">
        <v>559</v>
      </c>
      <c r="M26" s="43">
        <f t="shared" si="7"/>
        <v>875</v>
      </c>
      <c r="N26" s="205">
        <f>546-3</f>
        <v>543</v>
      </c>
      <c r="O26" s="42">
        <v>0</v>
      </c>
      <c r="P26" s="42">
        <v>0</v>
      </c>
      <c r="Q26" s="206">
        <v>332</v>
      </c>
      <c r="R26" s="43">
        <f t="shared" si="6"/>
        <v>-259</v>
      </c>
      <c r="S26" s="42">
        <f t="shared" si="1"/>
        <v>-32</v>
      </c>
      <c r="T26" s="42">
        <f t="shared" si="2"/>
        <v>0</v>
      </c>
      <c r="U26" s="42">
        <f t="shared" si="3"/>
        <v>0</v>
      </c>
      <c r="V26" s="41">
        <f t="shared" si="4"/>
        <v>-227</v>
      </c>
    </row>
    <row r="27" spans="1:23" ht="15.75" thickBot="1" x14ac:dyDescent="0.25">
      <c r="A27" s="557" t="s">
        <v>378</v>
      </c>
      <c r="B27" s="556" t="s">
        <v>403</v>
      </c>
      <c r="C27" s="527">
        <f t="shared" si="0"/>
        <v>1134</v>
      </c>
      <c r="D27" s="555">
        <f>SUM(D26)</f>
        <v>575</v>
      </c>
      <c r="E27" s="555">
        <f>SUM(E26)</f>
        <v>0</v>
      </c>
      <c r="F27" s="555">
        <f>SUM(F26)</f>
        <v>0</v>
      </c>
      <c r="G27" s="555">
        <f>SUM(G26)</f>
        <v>559</v>
      </c>
      <c r="H27" s="527">
        <f t="shared" si="5"/>
        <v>1128</v>
      </c>
      <c r="I27" s="555">
        <f>SUM(I26)</f>
        <v>569</v>
      </c>
      <c r="J27" s="555">
        <f>SUM(J26)</f>
        <v>0</v>
      </c>
      <c r="K27" s="555">
        <f>SUM(K26)</f>
        <v>0</v>
      </c>
      <c r="L27" s="555">
        <f>SUM(L26)</f>
        <v>559</v>
      </c>
      <c r="M27" s="527">
        <f t="shared" si="7"/>
        <v>875</v>
      </c>
      <c r="N27" s="535">
        <f>SUM(N26)</f>
        <v>543</v>
      </c>
      <c r="O27" s="555">
        <f>SUM(O26)</f>
        <v>0</v>
      </c>
      <c r="P27" s="555">
        <f>SUM(P26)</f>
        <v>0</v>
      </c>
      <c r="Q27" s="534">
        <f>SUM(Q26)</f>
        <v>332</v>
      </c>
      <c r="R27" s="527">
        <f t="shared" si="6"/>
        <v>-259</v>
      </c>
      <c r="S27" s="553">
        <f t="shared" si="1"/>
        <v>-32</v>
      </c>
      <c r="T27" s="553">
        <f t="shared" si="2"/>
        <v>0</v>
      </c>
      <c r="U27" s="553">
        <f t="shared" si="3"/>
        <v>0</v>
      </c>
      <c r="V27" s="552">
        <f t="shared" si="4"/>
        <v>-227</v>
      </c>
    </row>
    <row r="28" spans="1:23" ht="15" hidden="1" thickBot="1" x14ac:dyDescent="0.25">
      <c r="A28" s="560" t="s">
        <v>378</v>
      </c>
      <c r="B28" s="44" t="s">
        <v>402</v>
      </c>
      <c r="C28" s="43">
        <f t="shared" si="0"/>
        <v>4822</v>
      </c>
      <c r="D28" s="42">
        <v>4272</v>
      </c>
      <c r="E28" s="42">
        <v>0</v>
      </c>
      <c r="F28" s="42">
        <v>0</v>
      </c>
      <c r="G28" s="42">
        <v>550</v>
      </c>
      <c r="H28" s="43">
        <f t="shared" si="5"/>
        <v>4779</v>
      </c>
      <c r="I28" s="42">
        <v>4229</v>
      </c>
      <c r="J28" s="42">
        <v>0</v>
      </c>
      <c r="K28" s="42">
        <v>0</v>
      </c>
      <c r="L28" s="42">
        <v>550</v>
      </c>
      <c r="M28" s="43">
        <f t="shared" si="7"/>
        <v>5466</v>
      </c>
      <c r="N28" s="205">
        <f>5100-10</f>
        <v>5090</v>
      </c>
      <c r="O28" s="42">
        <v>0</v>
      </c>
      <c r="P28" s="42">
        <v>0</v>
      </c>
      <c r="Q28" s="206">
        <v>376</v>
      </c>
      <c r="R28" s="43">
        <f t="shared" si="6"/>
        <v>644</v>
      </c>
      <c r="S28" s="42">
        <f t="shared" si="1"/>
        <v>818</v>
      </c>
      <c r="T28" s="42">
        <f t="shared" si="2"/>
        <v>0</v>
      </c>
      <c r="U28" s="42">
        <f t="shared" si="3"/>
        <v>0</v>
      </c>
      <c r="V28" s="41">
        <f t="shared" si="4"/>
        <v>-174</v>
      </c>
    </row>
    <row r="29" spans="1:23" ht="15" hidden="1" thickBot="1" x14ac:dyDescent="0.25">
      <c r="A29" s="560" t="s">
        <v>378</v>
      </c>
      <c r="B29" s="44" t="s">
        <v>402</v>
      </c>
      <c r="C29" s="43">
        <f t="shared" si="0"/>
        <v>926</v>
      </c>
      <c r="D29" s="561">
        <v>926</v>
      </c>
      <c r="E29" s="561">
        <v>0</v>
      </c>
      <c r="F29" s="561">
        <v>0</v>
      </c>
      <c r="G29" s="561">
        <v>0</v>
      </c>
      <c r="H29" s="43">
        <f t="shared" si="5"/>
        <v>917</v>
      </c>
      <c r="I29" s="561">
        <v>917</v>
      </c>
      <c r="J29" s="561">
        <v>0</v>
      </c>
      <c r="K29" s="561">
        <v>0</v>
      </c>
      <c r="L29" s="561">
        <v>0</v>
      </c>
      <c r="M29" s="43">
        <f t="shared" si="7"/>
        <v>0</v>
      </c>
      <c r="N29" s="542">
        <v>0</v>
      </c>
      <c r="O29" s="561">
        <v>0</v>
      </c>
      <c r="P29" s="561">
        <v>0</v>
      </c>
      <c r="Q29" s="541"/>
      <c r="R29" s="43">
        <f t="shared" si="6"/>
        <v>-926</v>
      </c>
      <c r="S29" s="42">
        <f t="shared" si="1"/>
        <v>-926</v>
      </c>
      <c r="T29" s="42">
        <f t="shared" si="2"/>
        <v>0</v>
      </c>
      <c r="U29" s="42">
        <f t="shared" si="3"/>
        <v>0</v>
      </c>
      <c r="V29" s="41">
        <f t="shared" si="4"/>
        <v>0</v>
      </c>
    </row>
    <row r="30" spans="1:23" ht="26.25" thickBot="1" x14ac:dyDescent="0.25">
      <c r="A30" s="557" t="s">
        <v>378</v>
      </c>
      <c r="B30" s="556" t="s">
        <v>402</v>
      </c>
      <c r="C30" s="527">
        <f t="shared" si="0"/>
        <v>5748</v>
      </c>
      <c r="D30" s="555">
        <f>SUM(D28:D29)</f>
        <v>5198</v>
      </c>
      <c r="E30" s="555">
        <f>SUM(E28:E29)</f>
        <v>0</v>
      </c>
      <c r="F30" s="555">
        <f>SUM(F28:F29)</f>
        <v>0</v>
      </c>
      <c r="G30" s="555">
        <f>SUM(G28:G29)</f>
        <v>550</v>
      </c>
      <c r="H30" s="527">
        <f t="shared" si="5"/>
        <v>5696</v>
      </c>
      <c r="I30" s="555">
        <f>SUM(I28:I29)</f>
        <v>5146</v>
      </c>
      <c r="J30" s="555">
        <f>SUM(J28:J29)</f>
        <v>0</v>
      </c>
      <c r="K30" s="555">
        <f>SUM(K28:K29)</f>
        <v>0</v>
      </c>
      <c r="L30" s="555">
        <f>SUM(L28:L29)</f>
        <v>550</v>
      </c>
      <c r="M30" s="527">
        <f t="shared" si="7"/>
        <v>5466</v>
      </c>
      <c r="N30" s="535">
        <f>SUM(N28:N29)</f>
        <v>5090</v>
      </c>
      <c r="O30" s="555">
        <f>SUM(O28:O29)</f>
        <v>0</v>
      </c>
      <c r="P30" s="555">
        <f>SUM(P28:P29)</f>
        <v>0</v>
      </c>
      <c r="Q30" s="534">
        <f>SUM(Q28:Q29)</f>
        <v>376</v>
      </c>
      <c r="R30" s="527">
        <f t="shared" si="6"/>
        <v>-282</v>
      </c>
      <c r="S30" s="553">
        <f t="shared" si="1"/>
        <v>-108</v>
      </c>
      <c r="T30" s="553">
        <f t="shared" si="2"/>
        <v>0</v>
      </c>
      <c r="U30" s="553">
        <f t="shared" si="3"/>
        <v>0</v>
      </c>
      <c r="V30" s="552">
        <f t="shared" si="4"/>
        <v>-174</v>
      </c>
    </row>
    <row r="31" spans="1:23" ht="15" hidden="1" thickBot="1" x14ac:dyDescent="0.25">
      <c r="A31" s="560" t="s">
        <v>378</v>
      </c>
      <c r="B31" s="44" t="s">
        <v>401</v>
      </c>
      <c r="C31" s="43">
        <f t="shared" si="0"/>
        <v>2483</v>
      </c>
      <c r="D31" s="42">
        <v>1657</v>
      </c>
      <c r="E31" s="42">
        <v>0</v>
      </c>
      <c r="F31" s="42">
        <v>0</v>
      </c>
      <c r="G31" s="42">
        <v>826</v>
      </c>
      <c r="H31" s="43">
        <f t="shared" si="5"/>
        <v>2466</v>
      </c>
      <c r="I31" s="42">
        <v>1640</v>
      </c>
      <c r="J31" s="42">
        <v>0</v>
      </c>
      <c r="K31" s="42">
        <v>0</v>
      </c>
      <c r="L31" s="42">
        <v>826</v>
      </c>
      <c r="M31" s="43">
        <f t="shared" si="7"/>
        <v>2360</v>
      </c>
      <c r="N31" s="205">
        <v>1547</v>
      </c>
      <c r="O31" s="42">
        <v>0</v>
      </c>
      <c r="P31" s="42">
        <v>0</v>
      </c>
      <c r="Q31" s="206">
        <v>813</v>
      </c>
      <c r="R31" s="43">
        <f t="shared" si="6"/>
        <v>-123</v>
      </c>
      <c r="S31" s="42">
        <f t="shared" si="1"/>
        <v>-110</v>
      </c>
      <c r="T31" s="42">
        <f t="shared" si="2"/>
        <v>0</v>
      </c>
      <c r="U31" s="42">
        <f t="shared" si="3"/>
        <v>0</v>
      </c>
      <c r="V31" s="41">
        <f t="shared" si="4"/>
        <v>-13</v>
      </c>
    </row>
    <row r="32" spans="1:23" ht="15" hidden="1" thickBot="1" x14ac:dyDescent="0.25">
      <c r="A32" s="560" t="s">
        <v>378</v>
      </c>
      <c r="B32" s="44" t="s">
        <v>401</v>
      </c>
      <c r="C32" s="43">
        <f t="shared" si="0"/>
        <v>350</v>
      </c>
      <c r="D32" s="42">
        <v>350</v>
      </c>
      <c r="E32" s="42">
        <v>0</v>
      </c>
      <c r="F32" s="42">
        <v>0</v>
      </c>
      <c r="G32" s="42">
        <v>0</v>
      </c>
      <c r="H32" s="43">
        <f t="shared" si="5"/>
        <v>346</v>
      </c>
      <c r="I32" s="42">
        <v>346</v>
      </c>
      <c r="J32" s="42">
        <v>0</v>
      </c>
      <c r="K32" s="42">
        <v>0</v>
      </c>
      <c r="L32" s="42">
        <v>0</v>
      </c>
      <c r="M32" s="43">
        <f t="shared" si="7"/>
        <v>340</v>
      </c>
      <c r="N32" s="205">
        <v>340</v>
      </c>
      <c r="O32" s="42">
        <v>0</v>
      </c>
      <c r="P32" s="42">
        <v>0</v>
      </c>
      <c r="Q32" s="206"/>
      <c r="R32" s="43">
        <f t="shared" si="6"/>
        <v>-10</v>
      </c>
      <c r="S32" s="42">
        <f t="shared" si="1"/>
        <v>-10</v>
      </c>
      <c r="T32" s="42">
        <f t="shared" si="2"/>
        <v>0</v>
      </c>
      <c r="U32" s="42">
        <f t="shared" si="3"/>
        <v>0</v>
      </c>
      <c r="V32" s="41">
        <f t="shared" si="4"/>
        <v>0</v>
      </c>
    </row>
    <row r="33" spans="1:22" ht="15.75" thickBot="1" x14ac:dyDescent="0.25">
      <c r="A33" s="557" t="s">
        <v>378</v>
      </c>
      <c r="B33" s="556" t="s">
        <v>401</v>
      </c>
      <c r="C33" s="527">
        <f t="shared" si="0"/>
        <v>2833</v>
      </c>
      <c r="D33" s="555">
        <f>SUM(D31:D32)</f>
        <v>2007</v>
      </c>
      <c r="E33" s="555">
        <f>SUM(E31:E32)</f>
        <v>0</v>
      </c>
      <c r="F33" s="555">
        <f>SUM(F31:F32)</f>
        <v>0</v>
      </c>
      <c r="G33" s="555">
        <f>SUM(G31:G32)</f>
        <v>826</v>
      </c>
      <c r="H33" s="527">
        <f t="shared" si="5"/>
        <v>2812</v>
      </c>
      <c r="I33" s="555">
        <f>SUM(I31:I32)</f>
        <v>1986</v>
      </c>
      <c r="J33" s="555">
        <f>SUM(J31:J32)</f>
        <v>0</v>
      </c>
      <c r="K33" s="555">
        <f>SUM(K31:K32)</f>
        <v>0</v>
      </c>
      <c r="L33" s="555">
        <f>SUM(L31:L32)</f>
        <v>826</v>
      </c>
      <c r="M33" s="527">
        <f t="shared" si="7"/>
        <v>2700</v>
      </c>
      <c r="N33" s="535">
        <f>SUM(N31:N32)</f>
        <v>1887</v>
      </c>
      <c r="O33" s="555">
        <f>SUM(O31:O32)</f>
        <v>0</v>
      </c>
      <c r="P33" s="555">
        <f>SUM(P31:P32)</f>
        <v>0</v>
      </c>
      <c r="Q33" s="534">
        <f>SUM(Q31:Q32)</f>
        <v>813</v>
      </c>
      <c r="R33" s="527">
        <f t="shared" si="6"/>
        <v>-133</v>
      </c>
      <c r="S33" s="553">
        <f t="shared" si="1"/>
        <v>-120</v>
      </c>
      <c r="T33" s="553">
        <f t="shared" si="2"/>
        <v>0</v>
      </c>
      <c r="U33" s="553">
        <f t="shared" si="3"/>
        <v>0</v>
      </c>
      <c r="V33" s="552">
        <f t="shared" si="4"/>
        <v>-13</v>
      </c>
    </row>
    <row r="34" spans="1:22" ht="15" hidden="1" thickBot="1" x14ac:dyDescent="0.25">
      <c r="A34" s="560" t="s">
        <v>378</v>
      </c>
      <c r="B34" s="44" t="s">
        <v>400</v>
      </c>
      <c r="C34" s="43">
        <f t="shared" si="0"/>
        <v>2714</v>
      </c>
      <c r="D34" s="42">
        <v>1492</v>
      </c>
      <c r="E34" s="42">
        <v>0</v>
      </c>
      <c r="F34" s="42">
        <v>0</v>
      </c>
      <c r="G34" s="42">
        <v>1222</v>
      </c>
      <c r="H34" s="43">
        <f t="shared" si="5"/>
        <v>2699</v>
      </c>
      <c r="I34" s="42">
        <v>1477</v>
      </c>
      <c r="J34" s="42">
        <v>0</v>
      </c>
      <c r="K34" s="42">
        <v>0</v>
      </c>
      <c r="L34" s="42">
        <v>1222</v>
      </c>
      <c r="M34" s="43">
        <f t="shared" si="7"/>
        <v>2194</v>
      </c>
      <c r="N34" s="205">
        <f>1417-10</f>
        <v>1407</v>
      </c>
      <c r="O34" s="42">
        <v>0</v>
      </c>
      <c r="P34" s="42">
        <v>0</v>
      </c>
      <c r="Q34" s="206">
        <v>787</v>
      </c>
      <c r="R34" s="43">
        <f t="shared" si="6"/>
        <v>-520</v>
      </c>
      <c r="S34" s="42">
        <f t="shared" si="1"/>
        <v>-85</v>
      </c>
      <c r="T34" s="42">
        <f t="shared" si="2"/>
        <v>0</v>
      </c>
      <c r="U34" s="42">
        <f t="shared" si="3"/>
        <v>0</v>
      </c>
      <c r="V34" s="41">
        <f t="shared" si="4"/>
        <v>-435</v>
      </c>
    </row>
    <row r="35" spans="1:22" ht="15" hidden="1" thickBot="1" x14ac:dyDescent="0.25">
      <c r="A35" s="560" t="s">
        <v>378</v>
      </c>
      <c r="B35" s="44" t="s">
        <v>400</v>
      </c>
      <c r="C35" s="43">
        <f t="shared" si="0"/>
        <v>424</v>
      </c>
      <c r="D35" s="42">
        <v>424</v>
      </c>
      <c r="E35" s="42">
        <v>0</v>
      </c>
      <c r="F35" s="42">
        <v>0</v>
      </c>
      <c r="G35" s="42">
        <v>0</v>
      </c>
      <c r="H35" s="43">
        <f t="shared" si="5"/>
        <v>420</v>
      </c>
      <c r="I35" s="42">
        <v>420</v>
      </c>
      <c r="J35" s="42">
        <v>0</v>
      </c>
      <c r="K35" s="42">
        <v>0</v>
      </c>
      <c r="L35" s="42">
        <v>0</v>
      </c>
      <c r="M35" s="43">
        <f t="shared" si="7"/>
        <v>403</v>
      </c>
      <c r="N35" s="205">
        <v>403</v>
      </c>
      <c r="O35" s="42">
        <v>0</v>
      </c>
      <c r="P35" s="42">
        <v>0</v>
      </c>
      <c r="Q35" s="206"/>
      <c r="R35" s="43">
        <f t="shared" si="6"/>
        <v>-21</v>
      </c>
      <c r="S35" s="42">
        <f t="shared" si="1"/>
        <v>-21</v>
      </c>
      <c r="T35" s="42">
        <f t="shared" si="2"/>
        <v>0</v>
      </c>
      <c r="U35" s="42">
        <f t="shared" si="3"/>
        <v>0</v>
      </c>
      <c r="V35" s="41">
        <f t="shared" si="4"/>
        <v>0</v>
      </c>
    </row>
    <row r="36" spans="1:22" ht="15.75" thickBot="1" x14ac:dyDescent="0.25">
      <c r="A36" s="557" t="s">
        <v>378</v>
      </c>
      <c r="B36" s="556" t="s">
        <v>400</v>
      </c>
      <c r="C36" s="527">
        <f t="shared" si="0"/>
        <v>3138</v>
      </c>
      <c r="D36" s="555">
        <f>SUM(D34:D35)</f>
        <v>1916</v>
      </c>
      <c r="E36" s="555">
        <f>SUM(E34:E35)</f>
        <v>0</v>
      </c>
      <c r="F36" s="555">
        <f>SUM(F34:F35)</f>
        <v>0</v>
      </c>
      <c r="G36" s="555">
        <f>SUM(G34:G35)</f>
        <v>1222</v>
      </c>
      <c r="H36" s="527">
        <f t="shared" si="5"/>
        <v>3119</v>
      </c>
      <c r="I36" s="555">
        <f>SUM(I34:I35)</f>
        <v>1897</v>
      </c>
      <c r="J36" s="555">
        <f>SUM(J34:J35)</f>
        <v>0</v>
      </c>
      <c r="K36" s="555">
        <f>SUM(K34:K35)</f>
        <v>0</v>
      </c>
      <c r="L36" s="555">
        <f>SUM(L34:L35)</f>
        <v>1222</v>
      </c>
      <c r="M36" s="527">
        <f t="shared" si="7"/>
        <v>2597</v>
      </c>
      <c r="N36" s="535">
        <f>SUM(N34:N35)</f>
        <v>1810</v>
      </c>
      <c r="O36" s="555">
        <f>SUM(O34:O35)</f>
        <v>0</v>
      </c>
      <c r="P36" s="555">
        <f>SUM(P34:P35)</f>
        <v>0</v>
      </c>
      <c r="Q36" s="534">
        <f>SUM(Q34:Q35)</f>
        <v>787</v>
      </c>
      <c r="R36" s="527">
        <f t="shared" si="6"/>
        <v>-541</v>
      </c>
      <c r="S36" s="553">
        <f t="shared" si="1"/>
        <v>-106</v>
      </c>
      <c r="T36" s="553">
        <f t="shared" si="2"/>
        <v>0</v>
      </c>
      <c r="U36" s="553">
        <f t="shared" si="3"/>
        <v>0</v>
      </c>
      <c r="V36" s="552">
        <f t="shared" si="4"/>
        <v>-435</v>
      </c>
    </row>
    <row r="37" spans="1:22" ht="15" hidden="1" thickBot="1" x14ac:dyDescent="0.25">
      <c r="A37" s="560" t="s">
        <v>378</v>
      </c>
      <c r="B37" s="44" t="s">
        <v>399</v>
      </c>
      <c r="C37" s="43">
        <f t="shared" si="0"/>
        <v>2716</v>
      </c>
      <c r="D37" s="42">
        <v>2093</v>
      </c>
      <c r="E37" s="42">
        <v>0</v>
      </c>
      <c r="F37" s="42">
        <v>0</v>
      </c>
      <c r="G37" s="42">
        <v>623</v>
      </c>
      <c r="H37" s="43">
        <f t="shared" si="5"/>
        <v>2695</v>
      </c>
      <c r="I37" s="42">
        <v>2072</v>
      </c>
      <c r="J37" s="42">
        <v>0</v>
      </c>
      <c r="K37" s="42">
        <v>0</v>
      </c>
      <c r="L37" s="42">
        <v>623</v>
      </c>
      <c r="M37" s="43">
        <f t="shared" si="7"/>
        <v>3779</v>
      </c>
      <c r="N37" s="205">
        <v>2585</v>
      </c>
      <c r="O37" s="42">
        <v>0</v>
      </c>
      <c r="P37" s="42">
        <v>0</v>
      </c>
      <c r="Q37" s="206">
        <v>1194</v>
      </c>
      <c r="R37" s="43">
        <f t="shared" si="6"/>
        <v>1063</v>
      </c>
      <c r="S37" s="42">
        <f t="shared" si="1"/>
        <v>492</v>
      </c>
      <c r="T37" s="42">
        <f t="shared" si="2"/>
        <v>0</v>
      </c>
      <c r="U37" s="42">
        <f t="shared" si="3"/>
        <v>0</v>
      </c>
      <c r="V37" s="41">
        <f t="shared" si="4"/>
        <v>571</v>
      </c>
    </row>
    <row r="38" spans="1:22" ht="15" hidden="1" thickBot="1" x14ac:dyDescent="0.25">
      <c r="A38" s="560" t="s">
        <v>378</v>
      </c>
      <c r="B38" s="44" t="s">
        <v>399</v>
      </c>
      <c r="C38" s="43">
        <f t="shared" si="0"/>
        <v>1903</v>
      </c>
      <c r="D38" s="42">
        <v>1600</v>
      </c>
      <c r="E38" s="42">
        <v>0</v>
      </c>
      <c r="F38" s="42">
        <v>0</v>
      </c>
      <c r="G38" s="42">
        <v>303</v>
      </c>
      <c r="H38" s="43">
        <f t="shared" si="5"/>
        <v>1915.26</v>
      </c>
      <c r="I38" s="42">
        <v>1584</v>
      </c>
      <c r="J38" s="42">
        <v>0</v>
      </c>
      <c r="K38" s="42">
        <v>0</v>
      </c>
      <c r="L38" s="42">
        <f>33126/100</f>
        <v>331.26</v>
      </c>
      <c r="M38" s="43">
        <f t="shared" si="7"/>
        <v>1300</v>
      </c>
      <c r="N38" s="205">
        <v>1300</v>
      </c>
      <c r="O38" s="42">
        <v>0</v>
      </c>
      <c r="P38" s="42">
        <v>0</v>
      </c>
      <c r="Q38" s="206"/>
      <c r="R38" s="43">
        <f t="shared" si="6"/>
        <v>-603</v>
      </c>
      <c r="S38" s="42">
        <f t="shared" si="1"/>
        <v>-300</v>
      </c>
      <c r="T38" s="42">
        <f t="shared" si="2"/>
        <v>0</v>
      </c>
      <c r="U38" s="42">
        <f t="shared" si="3"/>
        <v>0</v>
      </c>
      <c r="V38" s="41">
        <f t="shared" si="4"/>
        <v>-303</v>
      </c>
    </row>
    <row r="39" spans="1:22" ht="15" hidden="1" thickBot="1" x14ac:dyDescent="0.25">
      <c r="A39" s="560" t="s">
        <v>378</v>
      </c>
      <c r="B39" s="44" t="s">
        <v>399</v>
      </c>
      <c r="C39" s="43">
        <f t="shared" si="0"/>
        <v>685</v>
      </c>
      <c r="D39" s="42">
        <v>600</v>
      </c>
      <c r="E39" s="42">
        <v>0</v>
      </c>
      <c r="F39" s="42">
        <v>0</v>
      </c>
      <c r="G39" s="42">
        <v>85</v>
      </c>
      <c r="H39" s="43">
        <f t="shared" si="5"/>
        <v>453</v>
      </c>
      <c r="I39" s="42">
        <v>396</v>
      </c>
      <c r="J39" s="42">
        <v>0</v>
      </c>
      <c r="K39" s="42">
        <v>0</v>
      </c>
      <c r="L39" s="42">
        <v>57</v>
      </c>
      <c r="M39" s="43">
        <f t="shared" si="7"/>
        <v>0</v>
      </c>
      <c r="N39" s="205">
        <v>0</v>
      </c>
      <c r="O39" s="42">
        <v>0</v>
      </c>
      <c r="P39" s="42">
        <v>0</v>
      </c>
      <c r="Q39" s="206"/>
      <c r="R39" s="43">
        <f t="shared" si="6"/>
        <v>-685</v>
      </c>
      <c r="S39" s="42">
        <f t="shared" si="1"/>
        <v>-600</v>
      </c>
      <c r="T39" s="42">
        <f t="shared" si="2"/>
        <v>0</v>
      </c>
      <c r="U39" s="42">
        <f t="shared" si="3"/>
        <v>0</v>
      </c>
      <c r="V39" s="41">
        <f t="shared" si="4"/>
        <v>-85</v>
      </c>
    </row>
    <row r="40" spans="1:22" ht="15" hidden="1" thickBot="1" x14ac:dyDescent="0.25">
      <c r="A40" s="560" t="s">
        <v>378</v>
      </c>
      <c r="B40" s="44" t="s">
        <v>399</v>
      </c>
      <c r="C40" s="43">
        <f t="shared" si="0"/>
        <v>547</v>
      </c>
      <c r="D40" s="42">
        <v>400</v>
      </c>
      <c r="E40" s="42">
        <v>0</v>
      </c>
      <c r="F40" s="42">
        <v>0</v>
      </c>
      <c r="G40" s="42">
        <v>147</v>
      </c>
      <c r="H40" s="43">
        <f t="shared" si="5"/>
        <v>543</v>
      </c>
      <c r="I40" s="42">
        <v>396</v>
      </c>
      <c r="J40" s="42">
        <v>0</v>
      </c>
      <c r="K40" s="42">
        <v>0</v>
      </c>
      <c r="L40" s="42">
        <v>147</v>
      </c>
      <c r="M40" s="43">
        <f t="shared" si="7"/>
        <v>165</v>
      </c>
      <c r="N40" s="205">
        <v>165</v>
      </c>
      <c r="O40" s="42">
        <v>0</v>
      </c>
      <c r="P40" s="42">
        <v>0</v>
      </c>
      <c r="Q40" s="206"/>
      <c r="R40" s="43">
        <f t="shared" si="6"/>
        <v>-382</v>
      </c>
      <c r="S40" s="42">
        <f t="shared" si="1"/>
        <v>-235</v>
      </c>
      <c r="T40" s="42">
        <f t="shared" si="2"/>
        <v>0</v>
      </c>
      <c r="U40" s="42">
        <f t="shared" si="3"/>
        <v>0</v>
      </c>
      <c r="V40" s="41">
        <f t="shared" si="4"/>
        <v>-147</v>
      </c>
    </row>
    <row r="41" spans="1:22" ht="15.75" thickBot="1" x14ac:dyDescent="0.25">
      <c r="A41" s="557" t="s">
        <v>378</v>
      </c>
      <c r="B41" s="556" t="s">
        <v>399</v>
      </c>
      <c r="C41" s="527">
        <f t="shared" si="0"/>
        <v>5851</v>
      </c>
      <c r="D41" s="555">
        <f>SUM(D37:D40)</f>
        <v>4693</v>
      </c>
      <c r="E41" s="555">
        <f>SUM(E37:E40)</f>
        <v>0</v>
      </c>
      <c r="F41" s="555">
        <f>SUM(F37:F40)</f>
        <v>0</v>
      </c>
      <c r="G41" s="555">
        <f>SUM(G37:G40)</f>
        <v>1158</v>
      </c>
      <c r="H41" s="527">
        <f t="shared" si="5"/>
        <v>5606.26</v>
      </c>
      <c r="I41" s="555">
        <f>SUM(I37:I40)</f>
        <v>4448</v>
      </c>
      <c r="J41" s="555">
        <f>SUM(J37:J40)</f>
        <v>0</v>
      </c>
      <c r="K41" s="555">
        <f>SUM(K37:K40)</f>
        <v>0</v>
      </c>
      <c r="L41" s="555">
        <f>SUM(L37:L40)</f>
        <v>1158.26</v>
      </c>
      <c r="M41" s="527">
        <f t="shared" si="7"/>
        <v>5244</v>
      </c>
      <c r="N41" s="535">
        <f>SUM(N37:N40)</f>
        <v>4050</v>
      </c>
      <c r="O41" s="555">
        <f>SUM(O37:O40)</f>
        <v>0</v>
      </c>
      <c r="P41" s="555">
        <f>SUM(P37:P40)</f>
        <v>0</v>
      </c>
      <c r="Q41" s="534">
        <f>SUM(Q37:Q40)</f>
        <v>1194</v>
      </c>
      <c r="R41" s="527">
        <f t="shared" si="6"/>
        <v>-607</v>
      </c>
      <c r="S41" s="553">
        <f t="shared" si="1"/>
        <v>-643</v>
      </c>
      <c r="T41" s="553">
        <f t="shared" si="2"/>
        <v>0</v>
      </c>
      <c r="U41" s="553">
        <f t="shared" si="3"/>
        <v>0</v>
      </c>
      <c r="V41" s="552">
        <f t="shared" si="4"/>
        <v>36</v>
      </c>
    </row>
    <row r="42" spans="1:22" ht="15" hidden="1" thickBot="1" x14ac:dyDescent="0.25">
      <c r="A42" s="560" t="s">
        <v>378</v>
      </c>
      <c r="B42" s="44" t="s">
        <v>398</v>
      </c>
      <c r="C42" s="43">
        <f t="shared" si="0"/>
        <v>2799</v>
      </c>
      <c r="D42" s="42">
        <v>2399</v>
      </c>
      <c r="E42" s="42">
        <v>0</v>
      </c>
      <c r="F42" s="42">
        <v>0</v>
      </c>
      <c r="G42" s="42">
        <v>400</v>
      </c>
      <c r="H42" s="43">
        <f t="shared" si="5"/>
        <v>2775</v>
      </c>
      <c r="I42" s="42">
        <v>2375</v>
      </c>
      <c r="J42" s="42">
        <v>0</v>
      </c>
      <c r="K42" s="42">
        <v>0</v>
      </c>
      <c r="L42" s="42">
        <v>400</v>
      </c>
      <c r="M42" s="43">
        <f t="shared" si="7"/>
        <v>2451</v>
      </c>
      <c r="N42" s="205">
        <v>2280</v>
      </c>
      <c r="O42" s="42">
        <v>0</v>
      </c>
      <c r="P42" s="42">
        <v>0</v>
      </c>
      <c r="Q42" s="206">
        <v>171</v>
      </c>
      <c r="R42" s="43">
        <f t="shared" si="6"/>
        <v>-348</v>
      </c>
      <c r="S42" s="42">
        <f t="shared" si="1"/>
        <v>-119</v>
      </c>
      <c r="T42" s="42">
        <f t="shared" si="2"/>
        <v>0</v>
      </c>
      <c r="U42" s="42">
        <f t="shared" si="3"/>
        <v>0</v>
      </c>
      <c r="V42" s="41">
        <f t="shared" si="4"/>
        <v>-229</v>
      </c>
    </row>
    <row r="43" spans="1:22" ht="26.25" thickBot="1" x14ac:dyDescent="0.25">
      <c r="A43" s="557" t="s">
        <v>378</v>
      </c>
      <c r="B43" s="556" t="s">
        <v>398</v>
      </c>
      <c r="C43" s="527">
        <f t="shared" si="0"/>
        <v>2799</v>
      </c>
      <c r="D43" s="555">
        <f>SUM(D42)</f>
        <v>2399</v>
      </c>
      <c r="E43" s="555">
        <f>SUM(E42)</f>
        <v>0</v>
      </c>
      <c r="F43" s="555">
        <f>SUM(F42)</f>
        <v>0</v>
      </c>
      <c r="G43" s="555">
        <f>SUM(G42)</f>
        <v>400</v>
      </c>
      <c r="H43" s="527">
        <f t="shared" si="5"/>
        <v>2775</v>
      </c>
      <c r="I43" s="555">
        <f>SUM(I42)</f>
        <v>2375</v>
      </c>
      <c r="J43" s="555">
        <f>SUM(J42)</f>
        <v>0</v>
      </c>
      <c r="K43" s="555">
        <f>SUM(K42)</f>
        <v>0</v>
      </c>
      <c r="L43" s="555">
        <f>SUM(L42)</f>
        <v>400</v>
      </c>
      <c r="M43" s="527">
        <f t="shared" si="7"/>
        <v>2451</v>
      </c>
      <c r="N43" s="535">
        <f>SUM(N42)</f>
        <v>2280</v>
      </c>
      <c r="O43" s="555">
        <f>SUM(O42)</f>
        <v>0</v>
      </c>
      <c r="P43" s="555">
        <f>SUM(P42)</f>
        <v>0</v>
      </c>
      <c r="Q43" s="534">
        <f>SUM(Q42)</f>
        <v>171</v>
      </c>
      <c r="R43" s="43">
        <f t="shared" si="6"/>
        <v>-348</v>
      </c>
      <c r="S43" s="42">
        <f t="shared" si="1"/>
        <v>-119</v>
      </c>
      <c r="T43" s="42">
        <f t="shared" si="2"/>
        <v>0</v>
      </c>
      <c r="U43" s="42">
        <f t="shared" si="3"/>
        <v>0</v>
      </c>
      <c r="V43" s="41">
        <f t="shared" si="4"/>
        <v>-229</v>
      </c>
    </row>
    <row r="44" spans="1:22" ht="15" hidden="1" thickBot="1" x14ac:dyDescent="0.25">
      <c r="A44" s="560" t="s">
        <v>378</v>
      </c>
      <c r="B44" s="44" t="s">
        <v>397</v>
      </c>
      <c r="C44" s="43">
        <f t="shared" si="0"/>
        <v>2565</v>
      </c>
      <c r="D44" s="42">
        <v>1849</v>
      </c>
      <c r="E44" s="42">
        <v>0</v>
      </c>
      <c r="F44" s="42">
        <v>0</v>
      </c>
      <c r="G44" s="42">
        <v>716</v>
      </c>
      <c r="H44" s="43">
        <f t="shared" si="5"/>
        <v>2547</v>
      </c>
      <c r="I44" s="42">
        <v>1831</v>
      </c>
      <c r="J44" s="42">
        <v>0</v>
      </c>
      <c r="K44" s="42">
        <v>0</v>
      </c>
      <c r="L44" s="42">
        <v>716</v>
      </c>
      <c r="M44" s="43">
        <f t="shared" si="7"/>
        <v>2646</v>
      </c>
      <c r="N44" s="205">
        <v>1750</v>
      </c>
      <c r="O44" s="42">
        <v>0</v>
      </c>
      <c r="P44" s="42">
        <v>0</v>
      </c>
      <c r="Q44" s="206">
        <v>896</v>
      </c>
      <c r="R44" s="43">
        <f t="shared" si="6"/>
        <v>81</v>
      </c>
      <c r="S44" s="42">
        <f t="shared" si="1"/>
        <v>-99</v>
      </c>
      <c r="T44" s="42">
        <f t="shared" si="2"/>
        <v>0</v>
      </c>
      <c r="U44" s="42">
        <f t="shared" si="3"/>
        <v>0</v>
      </c>
      <c r="V44" s="41">
        <f t="shared" si="4"/>
        <v>180</v>
      </c>
    </row>
    <row r="45" spans="1:22" ht="15" hidden="1" thickBot="1" x14ac:dyDescent="0.25">
      <c r="A45" s="560" t="s">
        <v>378</v>
      </c>
      <c r="B45" s="44" t="s">
        <v>397</v>
      </c>
      <c r="C45" s="43">
        <f t="shared" si="0"/>
        <v>260</v>
      </c>
      <c r="D45" s="42">
        <v>260</v>
      </c>
      <c r="E45" s="42">
        <v>0</v>
      </c>
      <c r="F45" s="42">
        <v>0</v>
      </c>
      <c r="G45" s="42">
        <v>0</v>
      </c>
      <c r="H45" s="43">
        <f t="shared" si="5"/>
        <v>257</v>
      </c>
      <c r="I45" s="42">
        <v>257</v>
      </c>
      <c r="J45" s="42">
        <v>0</v>
      </c>
      <c r="K45" s="42">
        <v>0</v>
      </c>
      <c r="L45" s="42">
        <v>0</v>
      </c>
      <c r="M45" s="43">
        <f t="shared" si="7"/>
        <v>260</v>
      </c>
      <c r="N45" s="205">
        <v>260</v>
      </c>
      <c r="O45" s="42">
        <v>0</v>
      </c>
      <c r="P45" s="42">
        <v>0</v>
      </c>
      <c r="Q45" s="206"/>
      <c r="R45" s="43">
        <f t="shared" si="6"/>
        <v>0</v>
      </c>
      <c r="S45" s="42">
        <f t="shared" si="1"/>
        <v>0</v>
      </c>
      <c r="T45" s="42">
        <f t="shared" si="2"/>
        <v>0</v>
      </c>
      <c r="U45" s="42">
        <f t="shared" si="3"/>
        <v>0</v>
      </c>
      <c r="V45" s="41">
        <f t="shared" si="4"/>
        <v>0</v>
      </c>
    </row>
    <row r="46" spans="1:22" ht="15.75" thickBot="1" x14ac:dyDescent="0.25">
      <c r="A46" s="557" t="s">
        <v>378</v>
      </c>
      <c r="B46" s="556" t="s">
        <v>397</v>
      </c>
      <c r="C46" s="527">
        <f t="shared" si="0"/>
        <v>2825</v>
      </c>
      <c r="D46" s="555">
        <f>SUM(D44:D45)</f>
        <v>2109</v>
      </c>
      <c r="E46" s="555">
        <f>SUM(E44:E45)</f>
        <v>0</v>
      </c>
      <c r="F46" s="555">
        <f>SUM(F44:F45)</f>
        <v>0</v>
      </c>
      <c r="G46" s="555">
        <f>SUM(G44:G45)</f>
        <v>716</v>
      </c>
      <c r="H46" s="527">
        <f t="shared" si="5"/>
        <v>2804</v>
      </c>
      <c r="I46" s="555">
        <f>SUM(I44:I45)</f>
        <v>2088</v>
      </c>
      <c r="J46" s="555">
        <f>SUM(J44:J45)</f>
        <v>0</v>
      </c>
      <c r="K46" s="555">
        <f>SUM(K44:K45)</f>
        <v>0</v>
      </c>
      <c r="L46" s="555">
        <f>SUM(L44:L45)</f>
        <v>716</v>
      </c>
      <c r="M46" s="527">
        <f t="shared" si="7"/>
        <v>2906</v>
      </c>
      <c r="N46" s="535">
        <f>SUM(N44:N45)</f>
        <v>2010</v>
      </c>
      <c r="O46" s="555">
        <f>SUM(O44:O45)</f>
        <v>0</v>
      </c>
      <c r="P46" s="555">
        <f>SUM(P44:P45)</f>
        <v>0</v>
      </c>
      <c r="Q46" s="534">
        <f>SUM(Q44:Q45)</f>
        <v>896</v>
      </c>
      <c r="R46" s="527">
        <f t="shared" si="6"/>
        <v>81</v>
      </c>
      <c r="S46" s="553">
        <f t="shared" si="1"/>
        <v>-99</v>
      </c>
      <c r="T46" s="553">
        <f t="shared" si="2"/>
        <v>0</v>
      </c>
      <c r="U46" s="553">
        <f t="shared" si="3"/>
        <v>0</v>
      </c>
      <c r="V46" s="552">
        <f t="shared" si="4"/>
        <v>180</v>
      </c>
    </row>
    <row r="47" spans="1:22" ht="15" hidden="1" thickBot="1" x14ac:dyDescent="0.25">
      <c r="A47" s="560" t="s">
        <v>378</v>
      </c>
      <c r="B47" s="44" t="s">
        <v>396</v>
      </c>
      <c r="C47" s="43">
        <f t="shared" si="0"/>
        <v>5779</v>
      </c>
      <c r="D47" s="42">
        <v>4685</v>
      </c>
      <c r="E47" s="42">
        <v>0</v>
      </c>
      <c r="F47" s="42">
        <v>0</v>
      </c>
      <c r="G47" s="42">
        <v>1094</v>
      </c>
      <c r="H47" s="43">
        <f t="shared" si="5"/>
        <v>5732</v>
      </c>
      <c r="I47" s="42">
        <v>4638</v>
      </c>
      <c r="J47" s="42">
        <v>0</v>
      </c>
      <c r="K47" s="42">
        <v>0</v>
      </c>
      <c r="L47" s="42">
        <v>1094</v>
      </c>
      <c r="M47" s="43">
        <f t="shared" si="7"/>
        <v>5462</v>
      </c>
      <c r="N47" s="205">
        <v>4550</v>
      </c>
      <c r="O47" s="42">
        <v>0</v>
      </c>
      <c r="P47" s="42">
        <v>0</v>
      </c>
      <c r="Q47" s="206">
        <v>912</v>
      </c>
      <c r="R47" s="43">
        <f t="shared" si="6"/>
        <v>-317</v>
      </c>
      <c r="S47" s="42">
        <f t="shared" si="1"/>
        <v>-135</v>
      </c>
      <c r="T47" s="42">
        <f t="shared" si="2"/>
        <v>0</v>
      </c>
      <c r="U47" s="42">
        <f t="shared" si="3"/>
        <v>0</v>
      </c>
      <c r="V47" s="41">
        <f t="shared" si="4"/>
        <v>-182</v>
      </c>
    </row>
    <row r="48" spans="1:22" ht="15.75" thickBot="1" x14ac:dyDescent="0.25">
      <c r="A48" s="557" t="s">
        <v>378</v>
      </c>
      <c r="B48" s="556" t="s">
        <v>396</v>
      </c>
      <c r="C48" s="527">
        <f t="shared" ref="C48:C79" si="8">SUM(D48:G48)</f>
        <v>5779</v>
      </c>
      <c r="D48" s="555">
        <f>SUM(D47)</f>
        <v>4685</v>
      </c>
      <c r="E48" s="555">
        <f>SUM(E47)</f>
        <v>0</v>
      </c>
      <c r="F48" s="555">
        <f>SUM(F47)</f>
        <v>0</v>
      </c>
      <c r="G48" s="555">
        <f>SUM(G47)</f>
        <v>1094</v>
      </c>
      <c r="H48" s="527">
        <f t="shared" si="5"/>
        <v>5732</v>
      </c>
      <c r="I48" s="555">
        <f>SUM(I47)</f>
        <v>4638</v>
      </c>
      <c r="J48" s="555">
        <f>SUM(J47)</f>
        <v>0</v>
      </c>
      <c r="K48" s="555">
        <f>SUM(K47)</f>
        <v>0</v>
      </c>
      <c r="L48" s="555">
        <f>SUM(L47)</f>
        <v>1094</v>
      </c>
      <c r="M48" s="527">
        <f t="shared" si="7"/>
        <v>5462</v>
      </c>
      <c r="N48" s="535">
        <f>SUM(N47)</f>
        <v>4550</v>
      </c>
      <c r="O48" s="555">
        <f>SUM(O47)</f>
        <v>0</v>
      </c>
      <c r="P48" s="555">
        <f>SUM(P47)</f>
        <v>0</v>
      </c>
      <c r="Q48" s="534">
        <f>SUM(Q47)</f>
        <v>912</v>
      </c>
      <c r="R48" s="527">
        <f t="shared" ref="R48:R79" si="9">SUM(S48:V48)</f>
        <v>-317</v>
      </c>
      <c r="S48" s="553">
        <f t="shared" ref="S48:S79" si="10">N48-D48</f>
        <v>-135</v>
      </c>
      <c r="T48" s="553">
        <f t="shared" ref="T48:T79" si="11">O48-E48</f>
        <v>0</v>
      </c>
      <c r="U48" s="553">
        <f t="shared" ref="U48:U79" si="12">P48-F48</f>
        <v>0</v>
      </c>
      <c r="V48" s="552">
        <f t="shared" ref="V48:V79" si="13">Q48-G48</f>
        <v>-182</v>
      </c>
    </row>
    <row r="49" spans="1:22" ht="15" hidden="1" thickBot="1" x14ac:dyDescent="0.25">
      <c r="A49" s="560" t="s">
        <v>378</v>
      </c>
      <c r="B49" s="44" t="s">
        <v>395</v>
      </c>
      <c r="C49" s="43">
        <f t="shared" si="8"/>
        <v>3026</v>
      </c>
      <c r="D49" s="42">
        <v>2618</v>
      </c>
      <c r="E49" s="42">
        <v>0</v>
      </c>
      <c r="F49" s="42">
        <v>0</v>
      </c>
      <c r="G49" s="42">
        <v>408</v>
      </c>
      <c r="H49" s="43">
        <f t="shared" si="5"/>
        <v>3000</v>
      </c>
      <c r="I49" s="42">
        <v>2592</v>
      </c>
      <c r="J49" s="42">
        <v>0</v>
      </c>
      <c r="K49" s="42">
        <v>0</v>
      </c>
      <c r="L49" s="42">
        <v>408</v>
      </c>
      <c r="M49" s="43">
        <f t="shared" si="7"/>
        <v>3134</v>
      </c>
      <c r="N49" s="205">
        <f>2462-15</f>
        <v>2447</v>
      </c>
      <c r="O49" s="42">
        <v>0</v>
      </c>
      <c r="P49" s="42">
        <v>0</v>
      </c>
      <c r="Q49" s="206">
        <v>687</v>
      </c>
      <c r="R49" s="43">
        <f t="shared" si="9"/>
        <v>108</v>
      </c>
      <c r="S49" s="42">
        <f t="shared" si="10"/>
        <v>-171</v>
      </c>
      <c r="T49" s="42">
        <f t="shared" si="11"/>
        <v>0</v>
      </c>
      <c r="U49" s="42">
        <f t="shared" si="12"/>
        <v>0</v>
      </c>
      <c r="V49" s="41">
        <f t="shared" si="13"/>
        <v>279</v>
      </c>
    </row>
    <row r="50" spans="1:22" ht="15" hidden="1" thickBot="1" x14ac:dyDescent="0.25">
      <c r="A50" s="560" t="s">
        <v>378</v>
      </c>
      <c r="B50" s="44" t="s">
        <v>395</v>
      </c>
      <c r="C50" s="43">
        <f t="shared" si="8"/>
        <v>252</v>
      </c>
      <c r="D50" s="42">
        <v>138</v>
      </c>
      <c r="E50" s="42">
        <v>0</v>
      </c>
      <c r="F50" s="42">
        <v>0</v>
      </c>
      <c r="G50" s="42">
        <v>114</v>
      </c>
      <c r="H50" s="43">
        <f t="shared" si="5"/>
        <v>251</v>
      </c>
      <c r="I50" s="42">
        <v>137</v>
      </c>
      <c r="J50" s="42">
        <v>0</v>
      </c>
      <c r="K50" s="42">
        <v>0</v>
      </c>
      <c r="L50" s="42">
        <v>114</v>
      </c>
      <c r="M50" s="43">
        <f t="shared" si="7"/>
        <v>130</v>
      </c>
      <c r="N50" s="205">
        <v>130</v>
      </c>
      <c r="O50" s="42">
        <v>0</v>
      </c>
      <c r="P50" s="42">
        <v>0</v>
      </c>
      <c r="Q50" s="206"/>
      <c r="R50" s="43">
        <f t="shared" si="9"/>
        <v>-122</v>
      </c>
      <c r="S50" s="42">
        <f t="shared" si="10"/>
        <v>-8</v>
      </c>
      <c r="T50" s="42">
        <f t="shared" si="11"/>
        <v>0</v>
      </c>
      <c r="U50" s="42">
        <f t="shared" si="12"/>
        <v>0</v>
      </c>
      <c r="V50" s="41">
        <f t="shared" si="13"/>
        <v>-114</v>
      </c>
    </row>
    <row r="51" spans="1:22" ht="15" hidden="1" thickBot="1" x14ac:dyDescent="0.25">
      <c r="A51" s="560" t="s">
        <v>378</v>
      </c>
      <c r="B51" s="44" t="s">
        <v>395</v>
      </c>
      <c r="C51" s="43">
        <f t="shared" si="8"/>
        <v>995</v>
      </c>
      <c r="D51" s="42">
        <v>623</v>
      </c>
      <c r="E51" s="42">
        <v>0</v>
      </c>
      <c r="F51" s="42">
        <v>0</v>
      </c>
      <c r="G51" s="42">
        <v>372</v>
      </c>
      <c r="H51" s="43">
        <f t="shared" si="5"/>
        <v>989</v>
      </c>
      <c r="I51" s="42">
        <v>617</v>
      </c>
      <c r="J51" s="42">
        <v>0</v>
      </c>
      <c r="K51" s="42">
        <v>0</v>
      </c>
      <c r="L51" s="42">
        <v>372</v>
      </c>
      <c r="M51" s="43">
        <f t="shared" si="7"/>
        <v>586</v>
      </c>
      <c r="N51" s="205">
        <v>586</v>
      </c>
      <c r="O51" s="42">
        <v>0</v>
      </c>
      <c r="P51" s="42">
        <v>0</v>
      </c>
      <c r="Q51" s="206"/>
      <c r="R51" s="43">
        <f t="shared" si="9"/>
        <v>-409</v>
      </c>
      <c r="S51" s="42">
        <f t="shared" si="10"/>
        <v>-37</v>
      </c>
      <c r="T51" s="42">
        <f t="shared" si="11"/>
        <v>0</v>
      </c>
      <c r="U51" s="42">
        <f t="shared" si="12"/>
        <v>0</v>
      </c>
      <c r="V51" s="41">
        <f t="shared" si="13"/>
        <v>-372</v>
      </c>
    </row>
    <row r="52" spans="1:22" ht="15" hidden="1" thickBot="1" x14ac:dyDescent="0.25">
      <c r="A52" s="560" t="s">
        <v>378</v>
      </c>
      <c r="B52" s="44" t="s">
        <v>395</v>
      </c>
      <c r="C52" s="43">
        <f t="shared" si="8"/>
        <v>627</v>
      </c>
      <c r="D52" s="42">
        <v>406</v>
      </c>
      <c r="E52" s="42">
        <v>0</v>
      </c>
      <c r="F52" s="42">
        <v>0</v>
      </c>
      <c r="G52" s="42">
        <v>221</v>
      </c>
      <c r="H52" s="43">
        <f t="shared" si="5"/>
        <v>623</v>
      </c>
      <c r="I52" s="42">
        <v>402</v>
      </c>
      <c r="J52" s="42">
        <v>0</v>
      </c>
      <c r="K52" s="42">
        <v>0</v>
      </c>
      <c r="L52" s="42">
        <v>221</v>
      </c>
      <c r="M52" s="43">
        <f t="shared" si="7"/>
        <v>382</v>
      </c>
      <c r="N52" s="205">
        <v>382</v>
      </c>
      <c r="O52" s="42">
        <v>0</v>
      </c>
      <c r="P52" s="42">
        <v>0</v>
      </c>
      <c r="Q52" s="206"/>
      <c r="R52" s="43">
        <f t="shared" si="9"/>
        <v>-245</v>
      </c>
      <c r="S52" s="42">
        <f t="shared" si="10"/>
        <v>-24</v>
      </c>
      <c r="T52" s="42">
        <f t="shared" si="11"/>
        <v>0</v>
      </c>
      <c r="U52" s="42">
        <f t="shared" si="12"/>
        <v>0</v>
      </c>
      <c r="V52" s="41">
        <f t="shared" si="13"/>
        <v>-221</v>
      </c>
    </row>
    <row r="53" spans="1:22" ht="15.75" thickBot="1" x14ac:dyDescent="0.25">
      <c r="A53" s="557" t="s">
        <v>378</v>
      </c>
      <c r="B53" s="556" t="s">
        <v>395</v>
      </c>
      <c r="C53" s="527">
        <f t="shared" si="8"/>
        <v>4900</v>
      </c>
      <c r="D53" s="555">
        <f>SUM(D49:D52)</f>
        <v>3785</v>
      </c>
      <c r="E53" s="555">
        <f>SUM(E49:E52)</f>
        <v>0</v>
      </c>
      <c r="F53" s="555">
        <f>SUM(F49:F52)</f>
        <v>0</v>
      </c>
      <c r="G53" s="555">
        <f>SUM(G49:G52)</f>
        <v>1115</v>
      </c>
      <c r="H53" s="527">
        <f t="shared" si="5"/>
        <v>4863</v>
      </c>
      <c r="I53" s="555">
        <f>SUM(I49:I52)</f>
        <v>3748</v>
      </c>
      <c r="J53" s="555">
        <f>SUM(J49:J52)</f>
        <v>0</v>
      </c>
      <c r="K53" s="555">
        <f>SUM(K49:K52)</f>
        <v>0</v>
      </c>
      <c r="L53" s="555">
        <f>SUM(L49:L52)</f>
        <v>1115</v>
      </c>
      <c r="M53" s="527">
        <f t="shared" si="7"/>
        <v>4232</v>
      </c>
      <c r="N53" s="535">
        <f>SUM(N49:N52)</f>
        <v>3545</v>
      </c>
      <c r="O53" s="555">
        <f>SUM(O49:O52)</f>
        <v>0</v>
      </c>
      <c r="P53" s="555">
        <f>SUM(P49:P52)</f>
        <v>0</v>
      </c>
      <c r="Q53" s="534">
        <f>SUM(Q49:Q52)</f>
        <v>687</v>
      </c>
      <c r="R53" s="527">
        <f t="shared" si="9"/>
        <v>-668</v>
      </c>
      <c r="S53" s="553">
        <f t="shared" si="10"/>
        <v>-240</v>
      </c>
      <c r="T53" s="553">
        <f t="shared" si="11"/>
        <v>0</v>
      </c>
      <c r="U53" s="553">
        <f t="shared" si="12"/>
        <v>0</v>
      </c>
      <c r="V53" s="552">
        <f t="shared" si="13"/>
        <v>-428</v>
      </c>
    </row>
    <row r="54" spans="1:22" ht="15" hidden="1" thickBot="1" x14ac:dyDescent="0.25">
      <c r="A54" s="560" t="s">
        <v>378</v>
      </c>
      <c r="B54" s="44" t="s">
        <v>394</v>
      </c>
      <c r="C54" s="43">
        <f t="shared" si="8"/>
        <v>1909</v>
      </c>
      <c r="D54" s="42">
        <v>1900</v>
      </c>
      <c r="E54" s="42">
        <v>0</v>
      </c>
      <c r="F54" s="42">
        <v>0</v>
      </c>
      <c r="G54" s="42">
        <v>9</v>
      </c>
      <c r="H54" s="43">
        <f t="shared" si="5"/>
        <v>1890</v>
      </c>
      <c r="I54" s="42">
        <v>1881</v>
      </c>
      <c r="J54" s="42">
        <v>0</v>
      </c>
      <c r="K54" s="42">
        <v>0</v>
      </c>
      <c r="L54" s="42">
        <v>9</v>
      </c>
      <c r="M54" s="43">
        <f t="shared" si="7"/>
        <v>1700</v>
      </c>
      <c r="N54" s="205">
        <v>1700</v>
      </c>
      <c r="O54" s="42">
        <v>0</v>
      </c>
      <c r="P54" s="42">
        <v>0</v>
      </c>
      <c r="Q54" s="206"/>
      <c r="R54" s="43">
        <f t="shared" si="9"/>
        <v>-209</v>
      </c>
      <c r="S54" s="42">
        <f t="shared" si="10"/>
        <v>-200</v>
      </c>
      <c r="T54" s="42">
        <f t="shared" si="11"/>
        <v>0</v>
      </c>
      <c r="U54" s="42">
        <f t="shared" si="12"/>
        <v>0</v>
      </c>
      <c r="V54" s="41">
        <f t="shared" si="13"/>
        <v>-9</v>
      </c>
    </row>
    <row r="55" spans="1:22" ht="15" hidden="1" thickBot="1" x14ac:dyDescent="0.25">
      <c r="A55" s="560" t="s">
        <v>378</v>
      </c>
      <c r="B55" s="44" t="s">
        <v>394</v>
      </c>
      <c r="C55" s="43">
        <f t="shared" si="8"/>
        <v>2651</v>
      </c>
      <c r="D55" s="42">
        <v>2024</v>
      </c>
      <c r="E55" s="42">
        <v>0</v>
      </c>
      <c r="F55" s="42">
        <v>0</v>
      </c>
      <c r="G55" s="42">
        <v>627</v>
      </c>
      <c r="H55" s="43">
        <f t="shared" si="5"/>
        <v>2631</v>
      </c>
      <c r="I55" s="42">
        <v>2004</v>
      </c>
      <c r="J55" s="42">
        <v>0</v>
      </c>
      <c r="K55" s="42">
        <v>0</v>
      </c>
      <c r="L55" s="42">
        <v>627</v>
      </c>
      <c r="M55" s="43">
        <f t="shared" si="7"/>
        <v>2540</v>
      </c>
      <c r="N55" s="205">
        <v>2015</v>
      </c>
      <c r="O55" s="42">
        <v>0</v>
      </c>
      <c r="P55" s="42">
        <v>0</v>
      </c>
      <c r="Q55" s="206">
        <v>525</v>
      </c>
      <c r="R55" s="43">
        <f t="shared" si="9"/>
        <v>-111</v>
      </c>
      <c r="S55" s="42">
        <f t="shared" si="10"/>
        <v>-9</v>
      </c>
      <c r="T55" s="42">
        <f t="shared" si="11"/>
        <v>0</v>
      </c>
      <c r="U55" s="42">
        <f t="shared" si="12"/>
        <v>0</v>
      </c>
      <c r="V55" s="41">
        <f t="shared" si="13"/>
        <v>-102</v>
      </c>
    </row>
    <row r="56" spans="1:22" ht="15" hidden="1" thickBot="1" x14ac:dyDescent="0.25">
      <c r="A56" s="560" t="s">
        <v>378</v>
      </c>
      <c r="B56" s="44" t="s">
        <v>394</v>
      </c>
      <c r="C56" s="43">
        <f t="shared" si="8"/>
        <v>333</v>
      </c>
      <c r="D56" s="42">
        <v>285</v>
      </c>
      <c r="E56" s="42">
        <v>0</v>
      </c>
      <c r="F56" s="42">
        <v>0</v>
      </c>
      <c r="G56" s="42">
        <v>48</v>
      </c>
      <c r="H56" s="43">
        <f t="shared" si="5"/>
        <v>330</v>
      </c>
      <c r="I56" s="42">
        <v>282</v>
      </c>
      <c r="J56" s="42">
        <v>0</v>
      </c>
      <c r="K56" s="42">
        <v>0</v>
      </c>
      <c r="L56" s="42">
        <v>48</v>
      </c>
      <c r="M56" s="43">
        <f t="shared" si="7"/>
        <v>285</v>
      </c>
      <c r="N56" s="205">
        <v>285</v>
      </c>
      <c r="O56" s="42">
        <v>0</v>
      </c>
      <c r="P56" s="42">
        <v>0</v>
      </c>
      <c r="Q56" s="206"/>
      <c r="R56" s="43">
        <f t="shared" si="9"/>
        <v>-48</v>
      </c>
      <c r="S56" s="42">
        <f t="shared" si="10"/>
        <v>0</v>
      </c>
      <c r="T56" s="42">
        <f t="shared" si="11"/>
        <v>0</v>
      </c>
      <c r="U56" s="42">
        <f t="shared" si="12"/>
        <v>0</v>
      </c>
      <c r="V56" s="41">
        <f t="shared" si="13"/>
        <v>-48</v>
      </c>
    </row>
    <row r="57" spans="1:22" ht="26.25" thickBot="1" x14ac:dyDescent="0.25">
      <c r="A57" s="557" t="s">
        <v>378</v>
      </c>
      <c r="B57" s="556" t="s">
        <v>394</v>
      </c>
      <c r="C57" s="527">
        <f t="shared" si="8"/>
        <v>4893</v>
      </c>
      <c r="D57" s="555">
        <f>SUM(D54:D56)</f>
        <v>4209</v>
      </c>
      <c r="E57" s="555">
        <f>SUM(E54:E56)</f>
        <v>0</v>
      </c>
      <c r="F57" s="555">
        <f>SUM(F54:F56)</f>
        <v>0</v>
      </c>
      <c r="G57" s="555">
        <f>SUM(G54:G56)</f>
        <v>684</v>
      </c>
      <c r="H57" s="527">
        <f t="shared" si="5"/>
        <v>4851</v>
      </c>
      <c r="I57" s="555">
        <f>SUM(I54:I56)</f>
        <v>4167</v>
      </c>
      <c r="J57" s="555">
        <f>SUM(J54:J56)</f>
        <v>0</v>
      </c>
      <c r="K57" s="555">
        <f>SUM(K54:K56)</f>
        <v>0</v>
      </c>
      <c r="L57" s="555">
        <f>SUM(L54:L56)</f>
        <v>684</v>
      </c>
      <c r="M57" s="527">
        <f t="shared" si="7"/>
        <v>4525</v>
      </c>
      <c r="N57" s="535">
        <f>SUM(N54:N56)</f>
        <v>4000</v>
      </c>
      <c r="O57" s="555">
        <f>SUM(O54:O56)</f>
        <v>0</v>
      </c>
      <c r="P57" s="555">
        <f>SUM(P54:P56)</f>
        <v>0</v>
      </c>
      <c r="Q57" s="534">
        <f>SUM(Q54:Q56)</f>
        <v>525</v>
      </c>
      <c r="R57" s="527">
        <f t="shared" si="9"/>
        <v>-368</v>
      </c>
      <c r="S57" s="553">
        <f t="shared" si="10"/>
        <v>-209</v>
      </c>
      <c r="T57" s="553">
        <f t="shared" si="11"/>
        <v>0</v>
      </c>
      <c r="U57" s="553">
        <f t="shared" si="12"/>
        <v>0</v>
      </c>
      <c r="V57" s="552">
        <f t="shared" si="13"/>
        <v>-159</v>
      </c>
    </row>
    <row r="58" spans="1:22" ht="15" hidden="1" thickBot="1" x14ac:dyDescent="0.25">
      <c r="A58" s="560" t="s">
        <v>378</v>
      </c>
      <c r="B58" s="44" t="s">
        <v>393</v>
      </c>
      <c r="C58" s="43">
        <f t="shared" si="8"/>
        <v>5799</v>
      </c>
      <c r="D58" s="42">
        <v>4799</v>
      </c>
      <c r="E58" s="42">
        <v>0</v>
      </c>
      <c r="F58" s="42">
        <v>0</v>
      </c>
      <c r="G58" s="42">
        <v>1000</v>
      </c>
      <c r="H58" s="43">
        <f t="shared" si="5"/>
        <v>5775</v>
      </c>
      <c r="I58" s="42">
        <f>476502/100</f>
        <v>4765.0200000000004</v>
      </c>
      <c r="J58" s="42">
        <f>998/100</f>
        <v>9.98</v>
      </c>
      <c r="K58" s="42">
        <v>0</v>
      </c>
      <c r="L58" s="42">
        <v>1000</v>
      </c>
      <c r="M58" s="43">
        <f t="shared" si="7"/>
        <v>5344</v>
      </c>
      <c r="N58" s="205">
        <v>4330</v>
      </c>
      <c r="O58" s="42">
        <v>0</v>
      </c>
      <c r="P58" s="42">
        <v>0</v>
      </c>
      <c r="Q58" s="206">
        <v>1014</v>
      </c>
      <c r="R58" s="43">
        <f t="shared" si="9"/>
        <v>-455</v>
      </c>
      <c r="S58" s="42">
        <f t="shared" si="10"/>
        <v>-469</v>
      </c>
      <c r="T58" s="42">
        <f t="shared" si="11"/>
        <v>0</v>
      </c>
      <c r="U58" s="42">
        <f t="shared" si="12"/>
        <v>0</v>
      </c>
      <c r="V58" s="41">
        <f t="shared" si="13"/>
        <v>14</v>
      </c>
    </row>
    <row r="59" spans="1:22" ht="15" hidden="1" thickBot="1" x14ac:dyDescent="0.25">
      <c r="A59" s="560" t="s">
        <v>378</v>
      </c>
      <c r="B59" s="44" t="s">
        <v>393</v>
      </c>
      <c r="C59" s="43">
        <f t="shared" si="8"/>
        <v>1613</v>
      </c>
      <c r="D59" s="42">
        <v>1500</v>
      </c>
      <c r="E59" s="42">
        <v>0</v>
      </c>
      <c r="F59" s="42">
        <v>0</v>
      </c>
      <c r="G59" s="42">
        <v>113</v>
      </c>
      <c r="H59" s="43">
        <f t="shared" si="5"/>
        <v>1606</v>
      </c>
      <c r="I59" s="42">
        <v>1493</v>
      </c>
      <c r="J59" s="42">
        <v>0</v>
      </c>
      <c r="K59" s="42">
        <v>0</v>
      </c>
      <c r="L59" s="42">
        <v>113</v>
      </c>
      <c r="M59" s="43">
        <f t="shared" si="7"/>
        <v>1500</v>
      </c>
      <c r="N59" s="205">
        <v>1500</v>
      </c>
      <c r="O59" s="42">
        <v>0</v>
      </c>
      <c r="P59" s="42">
        <v>0</v>
      </c>
      <c r="Q59" s="206"/>
      <c r="R59" s="43">
        <f t="shared" si="9"/>
        <v>-113</v>
      </c>
      <c r="S59" s="42">
        <f t="shared" si="10"/>
        <v>0</v>
      </c>
      <c r="T59" s="42">
        <f t="shared" si="11"/>
        <v>0</v>
      </c>
      <c r="U59" s="42">
        <f t="shared" si="12"/>
        <v>0</v>
      </c>
      <c r="V59" s="41">
        <f t="shared" si="13"/>
        <v>-113</v>
      </c>
    </row>
    <row r="60" spans="1:22" ht="15" hidden="1" thickBot="1" x14ac:dyDescent="0.25">
      <c r="A60" s="560" t="s">
        <v>378</v>
      </c>
      <c r="B60" s="44" t="s">
        <v>393</v>
      </c>
      <c r="C60" s="43">
        <f t="shared" si="8"/>
        <v>500</v>
      </c>
      <c r="D60" s="42">
        <v>500</v>
      </c>
      <c r="E60" s="42">
        <v>0</v>
      </c>
      <c r="F60" s="42">
        <v>0</v>
      </c>
      <c r="G60" s="42">
        <v>0</v>
      </c>
      <c r="H60" s="43">
        <f t="shared" si="5"/>
        <v>497</v>
      </c>
      <c r="I60" s="42">
        <v>497</v>
      </c>
      <c r="J60" s="42">
        <v>0</v>
      </c>
      <c r="K60" s="42">
        <v>0</v>
      </c>
      <c r="L60" s="42">
        <v>0</v>
      </c>
      <c r="M60" s="43">
        <f t="shared" si="7"/>
        <v>300</v>
      </c>
      <c r="N60" s="205">
        <v>300</v>
      </c>
      <c r="O60" s="42">
        <v>0</v>
      </c>
      <c r="P60" s="42">
        <v>0</v>
      </c>
      <c r="Q60" s="206"/>
      <c r="R60" s="43">
        <f t="shared" si="9"/>
        <v>-200</v>
      </c>
      <c r="S60" s="42">
        <f t="shared" si="10"/>
        <v>-200</v>
      </c>
      <c r="T60" s="42">
        <f t="shared" si="11"/>
        <v>0</v>
      </c>
      <c r="U60" s="42">
        <f t="shared" si="12"/>
        <v>0</v>
      </c>
      <c r="V60" s="41">
        <f t="shared" si="13"/>
        <v>0</v>
      </c>
    </row>
    <row r="61" spans="1:22" ht="15" hidden="1" thickBot="1" x14ac:dyDescent="0.25">
      <c r="A61" s="560" t="s">
        <v>378</v>
      </c>
      <c r="B61" s="44" t="s">
        <v>393</v>
      </c>
      <c r="C61" s="43">
        <f t="shared" si="8"/>
        <v>500</v>
      </c>
      <c r="D61" s="42">
        <v>500</v>
      </c>
      <c r="E61" s="42">
        <v>0</v>
      </c>
      <c r="F61" s="42">
        <v>0</v>
      </c>
      <c r="G61" s="42">
        <v>0</v>
      </c>
      <c r="H61" s="43">
        <f t="shared" si="5"/>
        <v>497</v>
      </c>
      <c r="I61" s="42">
        <v>497</v>
      </c>
      <c r="J61" s="42">
        <v>0</v>
      </c>
      <c r="K61" s="42">
        <v>0</v>
      </c>
      <c r="L61" s="42">
        <v>0</v>
      </c>
      <c r="M61" s="43">
        <f t="shared" si="7"/>
        <v>770</v>
      </c>
      <c r="N61" s="205">
        <v>770</v>
      </c>
      <c r="O61" s="42">
        <v>0</v>
      </c>
      <c r="P61" s="42">
        <v>0</v>
      </c>
      <c r="Q61" s="206"/>
      <c r="R61" s="43">
        <f t="shared" si="9"/>
        <v>270</v>
      </c>
      <c r="S61" s="42">
        <f t="shared" si="10"/>
        <v>270</v>
      </c>
      <c r="T61" s="42">
        <f t="shared" si="11"/>
        <v>0</v>
      </c>
      <c r="U61" s="42">
        <f t="shared" si="12"/>
        <v>0</v>
      </c>
      <c r="V61" s="41">
        <f t="shared" si="13"/>
        <v>0</v>
      </c>
    </row>
    <row r="62" spans="1:22" ht="15.75" thickBot="1" x14ac:dyDescent="0.25">
      <c r="A62" s="557" t="s">
        <v>378</v>
      </c>
      <c r="B62" s="556" t="s">
        <v>393</v>
      </c>
      <c r="C62" s="527">
        <f t="shared" si="8"/>
        <v>8412</v>
      </c>
      <c r="D62" s="555">
        <f>SUM(D58:D61)</f>
        <v>7299</v>
      </c>
      <c r="E62" s="555">
        <f>SUM(E58:E61)</f>
        <v>0</v>
      </c>
      <c r="F62" s="555">
        <f>SUM(F58:F61)</f>
        <v>0</v>
      </c>
      <c r="G62" s="555">
        <f>SUM(G58:G61)</f>
        <v>1113</v>
      </c>
      <c r="H62" s="527">
        <f t="shared" si="5"/>
        <v>8375</v>
      </c>
      <c r="I62" s="555">
        <f>SUM(I58:I61)</f>
        <v>7252.02</v>
      </c>
      <c r="J62" s="555">
        <f>SUM(J58:J61)</f>
        <v>9.98</v>
      </c>
      <c r="K62" s="555">
        <f>SUM(K58:K61)</f>
        <v>0</v>
      </c>
      <c r="L62" s="555">
        <f>SUM(L58:L61)</f>
        <v>1113</v>
      </c>
      <c r="M62" s="527">
        <f t="shared" si="7"/>
        <v>7914</v>
      </c>
      <c r="N62" s="535">
        <f>SUM(N58:N61)</f>
        <v>6900</v>
      </c>
      <c r="O62" s="555">
        <f>SUM(O58:O61)</f>
        <v>0</v>
      </c>
      <c r="P62" s="555">
        <f>SUM(P58:P61)</f>
        <v>0</v>
      </c>
      <c r="Q62" s="534">
        <f>SUM(Q58:Q61)</f>
        <v>1014</v>
      </c>
      <c r="R62" s="527">
        <f t="shared" si="9"/>
        <v>-498</v>
      </c>
      <c r="S62" s="553">
        <f t="shared" si="10"/>
        <v>-399</v>
      </c>
      <c r="T62" s="553">
        <f t="shared" si="11"/>
        <v>0</v>
      </c>
      <c r="U62" s="553">
        <f t="shared" si="12"/>
        <v>0</v>
      </c>
      <c r="V62" s="552">
        <f t="shared" si="13"/>
        <v>-99</v>
      </c>
    </row>
    <row r="63" spans="1:22" ht="15" hidden="1" thickBot="1" x14ac:dyDescent="0.25">
      <c r="A63" s="560" t="s">
        <v>378</v>
      </c>
      <c r="B63" s="44" t="s">
        <v>392</v>
      </c>
      <c r="C63" s="43">
        <f t="shared" si="8"/>
        <v>2549</v>
      </c>
      <c r="D63" s="42">
        <v>2020</v>
      </c>
      <c r="E63" s="42">
        <v>0</v>
      </c>
      <c r="F63" s="42">
        <v>0</v>
      </c>
      <c r="G63" s="42">
        <v>529</v>
      </c>
      <c r="H63" s="43">
        <f t="shared" si="5"/>
        <v>2529</v>
      </c>
      <c r="I63" s="42">
        <v>2000</v>
      </c>
      <c r="J63" s="42">
        <v>0</v>
      </c>
      <c r="K63" s="42">
        <v>0</v>
      </c>
      <c r="L63" s="42">
        <v>529</v>
      </c>
      <c r="M63" s="43">
        <f t="shared" si="7"/>
        <v>2226</v>
      </c>
      <c r="N63" s="205">
        <f>1800-11</f>
        <v>1789</v>
      </c>
      <c r="O63" s="42">
        <v>0</v>
      </c>
      <c r="P63" s="42">
        <v>0</v>
      </c>
      <c r="Q63" s="206">
        <v>437</v>
      </c>
      <c r="R63" s="43">
        <f t="shared" si="9"/>
        <v>-323</v>
      </c>
      <c r="S63" s="42">
        <f t="shared" si="10"/>
        <v>-231</v>
      </c>
      <c r="T63" s="42">
        <f t="shared" si="11"/>
        <v>0</v>
      </c>
      <c r="U63" s="42">
        <f t="shared" si="12"/>
        <v>0</v>
      </c>
      <c r="V63" s="41">
        <f t="shared" si="13"/>
        <v>-92</v>
      </c>
    </row>
    <row r="64" spans="1:22" ht="26.25" thickBot="1" x14ac:dyDescent="0.25">
      <c r="A64" s="557" t="s">
        <v>378</v>
      </c>
      <c r="B64" s="556" t="s">
        <v>392</v>
      </c>
      <c r="C64" s="527">
        <f t="shared" si="8"/>
        <v>2549</v>
      </c>
      <c r="D64" s="555">
        <f>SUM(D63)</f>
        <v>2020</v>
      </c>
      <c r="E64" s="555">
        <f>SUM(E63)</f>
        <v>0</v>
      </c>
      <c r="F64" s="555">
        <f>SUM(F63)</f>
        <v>0</v>
      </c>
      <c r="G64" s="555">
        <f>SUM(G63)</f>
        <v>529</v>
      </c>
      <c r="H64" s="527">
        <f t="shared" si="5"/>
        <v>2529</v>
      </c>
      <c r="I64" s="555">
        <f>SUM(I63)</f>
        <v>2000</v>
      </c>
      <c r="J64" s="555">
        <f>SUM(J63)</f>
        <v>0</v>
      </c>
      <c r="K64" s="555">
        <f>SUM(K63)</f>
        <v>0</v>
      </c>
      <c r="L64" s="555">
        <f>SUM(L63)</f>
        <v>529</v>
      </c>
      <c r="M64" s="527">
        <f t="shared" si="7"/>
        <v>2226</v>
      </c>
      <c r="N64" s="535">
        <f>SUM(N63)</f>
        <v>1789</v>
      </c>
      <c r="O64" s="555">
        <f>SUM(O63)</f>
        <v>0</v>
      </c>
      <c r="P64" s="555">
        <f>SUM(P63)</f>
        <v>0</v>
      </c>
      <c r="Q64" s="534">
        <f>SUM(Q63)</f>
        <v>437</v>
      </c>
      <c r="R64" s="527">
        <f t="shared" si="9"/>
        <v>-323</v>
      </c>
      <c r="S64" s="553">
        <f t="shared" si="10"/>
        <v>-231</v>
      </c>
      <c r="T64" s="553">
        <f t="shared" si="11"/>
        <v>0</v>
      </c>
      <c r="U64" s="553">
        <f t="shared" si="12"/>
        <v>0</v>
      </c>
      <c r="V64" s="552">
        <f t="shared" si="13"/>
        <v>-92</v>
      </c>
    </row>
    <row r="65" spans="1:22" ht="15" hidden="1" thickBot="1" x14ac:dyDescent="0.25">
      <c r="A65" s="560" t="s">
        <v>378</v>
      </c>
      <c r="B65" s="44" t="s">
        <v>391</v>
      </c>
      <c r="C65" s="43">
        <f t="shared" si="8"/>
        <v>2116</v>
      </c>
      <c r="D65" s="42">
        <v>1888</v>
      </c>
      <c r="E65" s="42">
        <v>0</v>
      </c>
      <c r="F65" s="42">
        <v>0</v>
      </c>
      <c r="G65" s="42">
        <v>228</v>
      </c>
      <c r="H65" s="43">
        <f t="shared" si="5"/>
        <v>2097</v>
      </c>
      <c r="I65" s="42">
        <v>1869</v>
      </c>
      <c r="J65" s="42">
        <v>0</v>
      </c>
      <c r="K65" s="42">
        <v>0</v>
      </c>
      <c r="L65" s="42">
        <v>228</v>
      </c>
      <c r="M65" s="43">
        <f t="shared" si="7"/>
        <v>1925</v>
      </c>
      <c r="N65" s="205">
        <v>1793</v>
      </c>
      <c r="O65" s="42">
        <v>0</v>
      </c>
      <c r="P65" s="42">
        <v>0</v>
      </c>
      <c r="Q65" s="206">
        <v>132</v>
      </c>
      <c r="R65" s="43">
        <f t="shared" si="9"/>
        <v>-191</v>
      </c>
      <c r="S65" s="42">
        <f t="shared" si="10"/>
        <v>-95</v>
      </c>
      <c r="T65" s="42">
        <f t="shared" si="11"/>
        <v>0</v>
      </c>
      <c r="U65" s="42">
        <f t="shared" si="12"/>
        <v>0</v>
      </c>
      <c r="V65" s="41">
        <f t="shared" si="13"/>
        <v>-96</v>
      </c>
    </row>
    <row r="66" spans="1:22" ht="26.25" thickBot="1" x14ac:dyDescent="0.25">
      <c r="A66" s="557" t="s">
        <v>378</v>
      </c>
      <c r="B66" s="556" t="s">
        <v>391</v>
      </c>
      <c r="C66" s="527">
        <f t="shared" si="8"/>
        <v>2116</v>
      </c>
      <c r="D66" s="555">
        <f>SUM(D65)</f>
        <v>1888</v>
      </c>
      <c r="E66" s="555">
        <f>SUM(E65)</f>
        <v>0</v>
      </c>
      <c r="F66" s="555">
        <f>SUM(F65)</f>
        <v>0</v>
      </c>
      <c r="G66" s="555">
        <f>SUM(G65)</f>
        <v>228</v>
      </c>
      <c r="H66" s="527">
        <f t="shared" si="5"/>
        <v>2097</v>
      </c>
      <c r="I66" s="555">
        <f>SUM(I65)</f>
        <v>1869</v>
      </c>
      <c r="J66" s="555">
        <f>SUM(J65)</f>
        <v>0</v>
      </c>
      <c r="K66" s="555">
        <f>SUM(K65)</f>
        <v>0</v>
      </c>
      <c r="L66" s="555">
        <f>SUM(L65)</f>
        <v>228</v>
      </c>
      <c r="M66" s="527">
        <f t="shared" si="7"/>
        <v>1925</v>
      </c>
      <c r="N66" s="535">
        <f>SUM(N65)</f>
        <v>1793</v>
      </c>
      <c r="O66" s="555">
        <f>SUM(O65)</f>
        <v>0</v>
      </c>
      <c r="P66" s="555">
        <f>SUM(P65)</f>
        <v>0</v>
      </c>
      <c r="Q66" s="534">
        <f>SUM(Q65)</f>
        <v>132</v>
      </c>
      <c r="R66" s="527">
        <f t="shared" si="9"/>
        <v>-191</v>
      </c>
      <c r="S66" s="553">
        <f t="shared" si="10"/>
        <v>-95</v>
      </c>
      <c r="T66" s="553">
        <f t="shared" si="11"/>
        <v>0</v>
      </c>
      <c r="U66" s="553">
        <f t="shared" si="12"/>
        <v>0</v>
      </c>
      <c r="V66" s="552">
        <f t="shared" si="13"/>
        <v>-96</v>
      </c>
    </row>
    <row r="67" spans="1:22" ht="15" hidden="1" thickBot="1" x14ac:dyDescent="0.25">
      <c r="A67" s="560" t="s">
        <v>378</v>
      </c>
      <c r="B67" s="44" t="s">
        <v>390</v>
      </c>
      <c r="C67" s="43">
        <f t="shared" si="8"/>
        <v>1845</v>
      </c>
      <c r="D67" s="42">
        <v>1845</v>
      </c>
      <c r="E67" s="42">
        <v>0</v>
      </c>
      <c r="F67" s="42">
        <v>0</v>
      </c>
      <c r="G67" s="42">
        <v>0</v>
      </c>
      <c r="H67" s="43">
        <f t="shared" si="5"/>
        <v>1827</v>
      </c>
      <c r="I67" s="42">
        <v>1827</v>
      </c>
      <c r="J67" s="42">
        <v>0</v>
      </c>
      <c r="K67" s="42">
        <v>0</v>
      </c>
      <c r="L67" s="42">
        <v>0</v>
      </c>
      <c r="M67" s="43">
        <f t="shared" si="7"/>
        <v>0</v>
      </c>
      <c r="N67" s="205">
        <v>0</v>
      </c>
      <c r="O67" s="42">
        <v>0</v>
      </c>
      <c r="P67" s="42">
        <v>0</v>
      </c>
      <c r="Q67" s="206"/>
      <c r="R67" s="43">
        <f t="shared" si="9"/>
        <v>-1845</v>
      </c>
      <c r="S67" s="42">
        <f t="shared" si="10"/>
        <v>-1845</v>
      </c>
      <c r="T67" s="42">
        <f t="shared" si="11"/>
        <v>0</v>
      </c>
      <c r="U67" s="42">
        <f t="shared" si="12"/>
        <v>0</v>
      </c>
      <c r="V67" s="41">
        <f t="shared" si="13"/>
        <v>0</v>
      </c>
    </row>
    <row r="68" spans="1:22" ht="15" hidden="1" thickBot="1" x14ac:dyDescent="0.25">
      <c r="A68" s="560" t="s">
        <v>378</v>
      </c>
      <c r="B68" s="44" t="s">
        <v>390</v>
      </c>
      <c r="C68" s="43">
        <f t="shared" si="8"/>
        <v>3102</v>
      </c>
      <c r="D68" s="42">
        <v>2407</v>
      </c>
      <c r="E68" s="42">
        <v>0</v>
      </c>
      <c r="F68" s="42">
        <v>0</v>
      </c>
      <c r="G68" s="42">
        <v>695</v>
      </c>
      <c r="H68" s="43">
        <f t="shared" si="5"/>
        <v>3078</v>
      </c>
      <c r="I68" s="42">
        <v>2383</v>
      </c>
      <c r="J68" s="42">
        <v>0</v>
      </c>
      <c r="K68" s="42">
        <v>0</v>
      </c>
      <c r="L68" s="42">
        <v>695</v>
      </c>
      <c r="M68" s="43">
        <f t="shared" si="7"/>
        <v>3581</v>
      </c>
      <c r="N68" s="205">
        <f>3113-18</f>
        <v>3095</v>
      </c>
      <c r="O68" s="42">
        <v>0</v>
      </c>
      <c r="P68" s="42">
        <v>0</v>
      </c>
      <c r="Q68" s="206">
        <v>486</v>
      </c>
      <c r="R68" s="43">
        <f t="shared" si="9"/>
        <v>479</v>
      </c>
      <c r="S68" s="42">
        <f t="shared" si="10"/>
        <v>688</v>
      </c>
      <c r="T68" s="42">
        <f t="shared" si="11"/>
        <v>0</v>
      </c>
      <c r="U68" s="42">
        <f t="shared" si="12"/>
        <v>0</v>
      </c>
      <c r="V68" s="41">
        <f t="shared" si="13"/>
        <v>-209</v>
      </c>
    </row>
    <row r="69" spans="1:22" ht="15" hidden="1" thickBot="1" x14ac:dyDescent="0.25">
      <c r="A69" s="560" t="s">
        <v>378</v>
      </c>
      <c r="B69" s="44" t="s">
        <v>390</v>
      </c>
      <c r="C69" s="43">
        <f t="shared" si="8"/>
        <v>383</v>
      </c>
      <c r="D69" s="42">
        <v>358</v>
      </c>
      <c r="E69" s="42">
        <v>0</v>
      </c>
      <c r="F69" s="42">
        <v>0</v>
      </c>
      <c r="G69" s="42">
        <v>25</v>
      </c>
      <c r="H69" s="43">
        <f t="shared" si="5"/>
        <v>379</v>
      </c>
      <c r="I69" s="42">
        <v>354</v>
      </c>
      <c r="J69" s="42">
        <v>0</v>
      </c>
      <c r="K69" s="42">
        <v>0</v>
      </c>
      <c r="L69" s="42">
        <v>25</v>
      </c>
      <c r="M69" s="43">
        <f t="shared" si="7"/>
        <v>617</v>
      </c>
      <c r="N69" s="205">
        <v>617</v>
      </c>
      <c r="O69" s="42">
        <v>0</v>
      </c>
      <c r="P69" s="42">
        <v>0</v>
      </c>
      <c r="Q69" s="206"/>
      <c r="R69" s="43">
        <f t="shared" si="9"/>
        <v>234</v>
      </c>
      <c r="S69" s="42">
        <f t="shared" si="10"/>
        <v>259</v>
      </c>
      <c r="T69" s="42">
        <f t="shared" si="11"/>
        <v>0</v>
      </c>
      <c r="U69" s="42">
        <f t="shared" si="12"/>
        <v>0</v>
      </c>
      <c r="V69" s="41">
        <f t="shared" si="13"/>
        <v>-25</v>
      </c>
    </row>
    <row r="70" spans="1:22" ht="15" hidden="1" thickBot="1" x14ac:dyDescent="0.25">
      <c r="A70" s="560" t="s">
        <v>378</v>
      </c>
      <c r="B70" s="44" t="s">
        <v>390</v>
      </c>
      <c r="C70" s="43">
        <f t="shared" si="8"/>
        <v>703</v>
      </c>
      <c r="D70" s="42">
        <v>512</v>
      </c>
      <c r="E70" s="42">
        <v>0</v>
      </c>
      <c r="F70" s="42">
        <v>0</v>
      </c>
      <c r="G70" s="42">
        <v>191</v>
      </c>
      <c r="H70" s="43">
        <f t="shared" si="5"/>
        <v>698</v>
      </c>
      <c r="I70" s="42">
        <v>507</v>
      </c>
      <c r="J70" s="42">
        <v>0</v>
      </c>
      <c r="K70" s="42">
        <v>0</v>
      </c>
      <c r="L70" s="42">
        <v>191</v>
      </c>
      <c r="M70" s="43">
        <f t="shared" si="7"/>
        <v>552</v>
      </c>
      <c r="N70" s="205">
        <v>552</v>
      </c>
      <c r="O70" s="42">
        <v>0</v>
      </c>
      <c r="P70" s="42">
        <v>0</v>
      </c>
      <c r="Q70" s="206"/>
      <c r="R70" s="43">
        <f t="shared" si="9"/>
        <v>-151</v>
      </c>
      <c r="S70" s="42">
        <f t="shared" si="10"/>
        <v>40</v>
      </c>
      <c r="T70" s="42">
        <f t="shared" si="11"/>
        <v>0</v>
      </c>
      <c r="U70" s="42">
        <f t="shared" si="12"/>
        <v>0</v>
      </c>
      <c r="V70" s="41">
        <f t="shared" si="13"/>
        <v>-191</v>
      </c>
    </row>
    <row r="71" spans="1:22" ht="26.25" thickBot="1" x14ac:dyDescent="0.25">
      <c r="A71" s="557" t="s">
        <v>378</v>
      </c>
      <c r="B71" s="556" t="s">
        <v>390</v>
      </c>
      <c r="C71" s="527">
        <f t="shared" si="8"/>
        <v>6033</v>
      </c>
      <c r="D71" s="555">
        <f>SUM(D67:D70)</f>
        <v>5122</v>
      </c>
      <c r="E71" s="555">
        <f>SUM(E67:E70)</f>
        <v>0</v>
      </c>
      <c r="F71" s="555">
        <f>SUM(F67:F70)</f>
        <v>0</v>
      </c>
      <c r="G71" s="555">
        <f>SUM(G67:G70)</f>
        <v>911</v>
      </c>
      <c r="H71" s="527">
        <f t="shared" si="5"/>
        <v>5982</v>
      </c>
      <c r="I71" s="555">
        <f>SUM(I67:I70)</f>
        <v>5071</v>
      </c>
      <c r="J71" s="555">
        <f>SUM(J67:J70)</f>
        <v>0</v>
      </c>
      <c r="K71" s="555">
        <f>SUM(K67:K70)</f>
        <v>0</v>
      </c>
      <c r="L71" s="555">
        <f>SUM(L67:L70)</f>
        <v>911</v>
      </c>
      <c r="M71" s="527">
        <f t="shared" si="7"/>
        <v>4750</v>
      </c>
      <c r="N71" s="535">
        <f>SUM(N67:N70)</f>
        <v>4264</v>
      </c>
      <c r="O71" s="555">
        <f>SUM(O67:O70)</f>
        <v>0</v>
      </c>
      <c r="P71" s="555">
        <f>SUM(P67:P70)</f>
        <v>0</v>
      </c>
      <c r="Q71" s="534">
        <f>SUM(Q67:Q70)</f>
        <v>486</v>
      </c>
      <c r="R71" s="527">
        <f t="shared" si="9"/>
        <v>-1283</v>
      </c>
      <c r="S71" s="553">
        <f t="shared" si="10"/>
        <v>-858</v>
      </c>
      <c r="T71" s="553">
        <f t="shared" si="11"/>
        <v>0</v>
      </c>
      <c r="U71" s="553">
        <f t="shared" si="12"/>
        <v>0</v>
      </c>
      <c r="V71" s="552">
        <f t="shared" si="13"/>
        <v>-425</v>
      </c>
    </row>
    <row r="72" spans="1:22" ht="15" hidden="1" thickBot="1" x14ac:dyDescent="0.25">
      <c r="A72" s="560" t="s">
        <v>378</v>
      </c>
      <c r="B72" s="44" t="s">
        <v>389</v>
      </c>
      <c r="C72" s="43">
        <f t="shared" si="8"/>
        <v>1889</v>
      </c>
      <c r="D72" s="42">
        <v>1889</v>
      </c>
      <c r="E72" s="42">
        <v>0</v>
      </c>
      <c r="F72" s="42">
        <v>0</v>
      </c>
      <c r="G72" s="42">
        <v>0</v>
      </c>
      <c r="H72" s="43">
        <f t="shared" si="5"/>
        <v>1870</v>
      </c>
      <c r="I72" s="42">
        <v>1870</v>
      </c>
      <c r="J72" s="42">
        <v>0</v>
      </c>
      <c r="K72" s="42">
        <v>0</v>
      </c>
      <c r="L72" s="42">
        <v>0</v>
      </c>
      <c r="M72" s="43">
        <f t="shared" si="7"/>
        <v>262</v>
      </c>
      <c r="N72" s="205">
        <v>262</v>
      </c>
      <c r="O72" s="42">
        <v>0</v>
      </c>
      <c r="P72" s="42">
        <v>0</v>
      </c>
      <c r="Q72" s="206"/>
      <c r="R72" s="43">
        <f t="shared" si="9"/>
        <v>-1627</v>
      </c>
      <c r="S72" s="42">
        <f t="shared" si="10"/>
        <v>-1627</v>
      </c>
      <c r="T72" s="42">
        <f t="shared" si="11"/>
        <v>0</v>
      </c>
      <c r="U72" s="42">
        <f t="shared" si="12"/>
        <v>0</v>
      </c>
      <c r="V72" s="41">
        <f t="shared" si="13"/>
        <v>0</v>
      </c>
    </row>
    <row r="73" spans="1:22" ht="15" hidden="1" thickBot="1" x14ac:dyDescent="0.25">
      <c r="A73" s="560" t="s">
        <v>378</v>
      </c>
      <c r="B73" s="44" t="s">
        <v>389</v>
      </c>
      <c r="C73" s="43">
        <f t="shared" si="8"/>
        <v>6941</v>
      </c>
      <c r="D73" s="42">
        <v>3864</v>
      </c>
      <c r="E73" s="42">
        <v>100</v>
      </c>
      <c r="F73" s="42">
        <v>0</v>
      </c>
      <c r="G73" s="42">
        <v>2977</v>
      </c>
      <c r="H73" s="43">
        <f t="shared" si="5"/>
        <v>6902</v>
      </c>
      <c r="I73" s="42">
        <f>382329/100</f>
        <v>3823.29</v>
      </c>
      <c r="J73" s="42">
        <f>10171/100</f>
        <v>101.71</v>
      </c>
      <c r="K73" s="42">
        <v>0</v>
      </c>
      <c r="L73" s="42">
        <v>2977</v>
      </c>
      <c r="M73" s="43">
        <f t="shared" si="7"/>
        <v>8910</v>
      </c>
      <c r="N73" s="205">
        <v>4982</v>
      </c>
      <c r="O73" s="42">
        <v>100</v>
      </c>
      <c r="P73" s="42">
        <v>0</v>
      </c>
      <c r="Q73" s="206">
        <v>3828</v>
      </c>
      <c r="R73" s="43">
        <f t="shared" si="9"/>
        <v>1969</v>
      </c>
      <c r="S73" s="42">
        <f t="shared" si="10"/>
        <v>1118</v>
      </c>
      <c r="T73" s="42">
        <f t="shared" si="11"/>
        <v>0</v>
      </c>
      <c r="U73" s="42">
        <f t="shared" si="12"/>
        <v>0</v>
      </c>
      <c r="V73" s="41">
        <f t="shared" si="13"/>
        <v>851</v>
      </c>
    </row>
    <row r="74" spans="1:22" ht="15" hidden="1" thickBot="1" x14ac:dyDescent="0.25">
      <c r="A74" s="560" t="s">
        <v>378</v>
      </c>
      <c r="B74" s="44" t="s">
        <v>389</v>
      </c>
      <c r="C74" s="43">
        <f t="shared" si="8"/>
        <v>871</v>
      </c>
      <c r="D74" s="42">
        <v>871</v>
      </c>
      <c r="E74" s="42">
        <v>0</v>
      </c>
      <c r="F74" s="42">
        <v>0</v>
      </c>
      <c r="G74" s="42">
        <v>0</v>
      </c>
      <c r="H74" s="43">
        <f t="shared" si="5"/>
        <v>862</v>
      </c>
      <c r="I74" s="42">
        <v>862</v>
      </c>
      <c r="J74" s="42">
        <v>0</v>
      </c>
      <c r="K74" s="42">
        <v>0</v>
      </c>
      <c r="L74" s="42">
        <v>0</v>
      </c>
      <c r="M74" s="43">
        <f t="shared" si="7"/>
        <v>852</v>
      </c>
      <c r="N74" s="205">
        <v>852</v>
      </c>
      <c r="O74" s="42">
        <v>0</v>
      </c>
      <c r="P74" s="42">
        <v>0</v>
      </c>
      <c r="Q74" s="206"/>
      <c r="R74" s="43">
        <f t="shared" si="9"/>
        <v>-19</v>
      </c>
      <c r="S74" s="42">
        <f t="shared" si="10"/>
        <v>-19</v>
      </c>
      <c r="T74" s="42">
        <f t="shared" si="11"/>
        <v>0</v>
      </c>
      <c r="U74" s="42">
        <f t="shared" si="12"/>
        <v>0</v>
      </c>
      <c r="V74" s="41">
        <f t="shared" si="13"/>
        <v>0</v>
      </c>
    </row>
    <row r="75" spans="1:22" ht="15" hidden="1" thickBot="1" x14ac:dyDescent="0.25">
      <c r="A75" s="560" t="s">
        <v>378</v>
      </c>
      <c r="B75" s="44" t="s">
        <v>389</v>
      </c>
      <c r="C75" s="43">
        <f t="shared" si="8"/>
        <v>825</v>
      </c>
      <c r="D75" s="42">
        <v>825</v>
      </c>
      <c r="E75" s="42">
        <v>0</v>
      </c>
      <c r="F75" s="42">
        <v>0</v>
      </c>
      <c r="G75" s="42">
        <v>0</v>
      </c>
      <c r="H75" s="43">
        <f t="shared" si="5"/>
        <v>817</v>
      </c>
      <c r="I75" s="42">
        <v>817</v>
      </c>
      <c r="J75" s="42">
        <v>0</v>
      </c>
      <c r="K75" s="42">
        <v>0</v>
      </c>
      <c r="L75" s="42">
        <v>0</v>
      </c>
      <c r="M75" s="43">
        <f t="shared" si="7"/>
        <v>909</v>
      </c>
      <c r="N75" s="205">
        <v>909</v>
      </c>
      <c r="O75" s="42">
        <v>0</v>
      </c>
      <c r="P75" s="42">
        <v>0</v>
      </c>
      <c r="Q75" s="206"/>
      <c r="R75" s="43">
        <f t="shared" si="9"/>
        <v>84</v>
      </c>
      <c r="S75" s="42">
        <f t="shared" si="10"/>
        <v>84</v>
      </c>
      <c r="T75" s="42">
        <f t="shared" si="11"/>
        <v>0</v>
      </c>
      <c r="U75" s="42">
        <f t="shared" si="12"/>
        <v>0</v>
      </c>
      <c r="V75" s="41">
        <f t="shared" si="13"/>
        <v>0</v>
      </c>
    </row>
    <row r="76" spans="1:22" ht="15.75" thickBot="1" x14ac:dyDescent="0.25">
      <c r="A76" s="557" t="s">
        <v>378</v>
      </c>
      <c r="B76" s="556" t="s">
        <v>389</v>
      </c>
      <c r="C76" s="527">
        <f t="shared" si="8"/>
        <v>10526</v>
      </c>
      <c r="D76" s="555">
        <f>SUM(D72:D75)</f>
        <v>7449</v>
      </c>
      <c r="E76" s="555">
        <f>SUM(E72:E75)</f>
        <v>100</v>
      </c>
      <c r="F76" s="555">
        <f>SUM(F72:F75)</f>
        <v>0</v>
      </c>
      <c r="G76" s="555">
        <f>SUM(G72:G75)</f>
        <v>2977</v>
      </c>
      <c r="H76" s="527">
        <f t="shared" si="5"/>
        <v>10451</v>
      </c>
      <c r="I76" s="555">
        <f>SUM(I72:I75)</f>
        <v>7372.29</v>
      </c>
      <c r="J76" s="555">
        <f>SUM(J72:J75)</f>
        <v>101.71</v>
      </c>
      <c r="K76" s="555">
        <f>SUM(K72:K75)</f>
        <v>0</v>
      </c>
      <c r="L76" s="555">
        <f>SUM(L72:L75)</f>
        <v>2977</v>
      </c>
      <c r="M76" s="527">
        <f t="shared" si="7"/>
        <v>10933</v>
      </c>
      <c r="N76" s="535">
        <f>SUM(N72:N75)</f>
        <v>7005</v>
      </c>
      <c r="O76" s="555">
        <f>SUM(O72:O75)</f>
        <v>100</v>
      </c>
      <c r="P76" s="555">
        <f>SUM(P72:P75)</f>
        <v>0</v>
      </c>
      <c r="Q76" s="534">
        <f>SUM(Q72:Q75)</f>
        <v>3828</v>
      </c>
      <c r="R76" s="527">
        <f t="shared" si="9"/>
        <v>407</v>
      </c>
      <c r="S76" s="553">
        <f t="shared" si="10"/>
        <v>-444</v>
      </c>
      <c r="T76" s="553">
        <f t="shared" si="11"/>
        <v>0</v>
      </c>
      <c r="U76" s="553">
        <f t="shared" si="12"/>
        <v>0</v>
      </c>
      <c r="V76" s="552">
        <f t="shared" si="13"/>
        <v>851</v>
      </c>
    </row>
    <row r="77" spans="1:22" ht="15" hidden="1" thickBot="1" x14ac:dyDescent="0.25">
      <c r="A77" s="560" t="s">
        <v>378</v>
      </c>
      <c r="B77" s="44" t="s">
        <v>388</v>
      </c>
      <c r="C77" s="43">
        <f t="shared" si="8"/>
        <v>1717</v>
      </c>
      <c r="D77" s="42">
        <v>1391</v>
      </c>
      <c r="E77" s="42">
        <v>0</v>
      </c>
      <c r="F77" s="42">
        <v>0</v>
      </c>
      <c r="G77" s="42">
        <v>326</v>
      </c>
      <c r="H77" s="43">
        <f t="shared" si="5"/>
        <v>1703</v>
      </c>
      <c r="I77" s="42">
        <v>1377</v>
      </c>
      <c r="J77" s="42">
        <v>0</v>
      </c>
      <c r="K77" s="42">
        <v>0</v>
      </c>
      <c r="L77" s="42">
        <v>326</v>
      </c>
      <c r="M77" s="43">
        <f t="shared" si="7"/>
        <v>1745</v>
      </c>
      <c r="N77" s="205">
        <f>1549-10</f>
        <v>1539</v>
      </c>
      <c r="O77" s="42">
        <v>0</v>
      </c>
      <c r="P77" s="42">
        <v>0</v>
      </c>
      <c r="Q77" s="206">
        <v>206</v>
      </c>
      <c r="R77" s="43">
        <f t="shared" si="9"/>
        <v>28</v>
      </c>
      <c r="S77" s="42">
        <f t="shared" si="10"/>
        <v>148</v>
      </c>
      <c r="T77" s="42">
        <f t="shared" si="11"/>
        <v>0</v>
      </c>
      <c r="U77" s="42">
        <f t="shared" si="12"/>
        <v>0</v>
      </c>
      <c r="V77" s="41">
        <f t="shared" si="13"/>
        <v>-120</v>
      </c>
    </row>
    <row r="78" spans="1:22" ht="15" hidden="1" thickBot="1" x14ac:dyDescent="0.25">
      <c r="A78" s="560" t="s">
        <v>378</v>
      </c>
      <c r="B78" s="44" t="s">
        <v>388</v>
      </c>
      <c r="C78" s="43">
        <f t="shared" si="8"/>
        <v>232</v>
      </c>
      <c r="D78" s="42">
        <v>232</v>
      </c>
      <c r="E78" s="42">
        <v>0</v>
      </c>
      <c r="F78" s="42">
        <v>0</v>
      </c>
      <c r="G78" s="42">
        <v>0</v>
      </c>
      <c r="H78" s="43">
        <f t="shared" si="5"/>
        <v>230</v>
      </c>
      <c r="I78" s="42">
        <v>230</v>
      </c>
      <c r="J78" s="42">
        <v>0</v>
      </c>
      <c r="K78" s="42">
        <v>0</v>
      </c>
      <c r="L78" s="42">
        <v>0</v>
      </c>
      <c r="M78" s="43">
        <f t="shared" si="7"/>
        <v>188</v>
      </c>
      <c r="N78" s="205">
        <v>188</v>
      </c>
      <c r="O78" s="42">
        <v>0</v>
      </c>
      <c r="P78" s="42">
        <v>0</v>
      </c>
      <c r="Q78" s="206"/>
      <c r="R78" s="43">
        <f t="shared" si="9"/>
        <v>-44</v>
      </c>
      <c r="S78" s="42">
        <f t="shared" si="10"/>
        <v>-44</v>
      </c>
      <c r="T78" s="42">
        <f t="shared" si="11"/>
        <v>0</v>
      </c>
      <c r="U78" s="42">
        <f t="shared" si="12"/>
        <v>0</v>
      </c>
      <c r="V78" s="41">
        <f t="shared" si="13"/>
        <v>0</v>
      </c>
    </row>
    <row r="79" spans="1:22" ht="15" hidden="1" thickBot="1" x14ac:dyDescent="0.25">
      <c r="A79" s="560" t="s">
        <v>378</v>
      </c>
      <c r="B79" s="44" t="s">
        <v>388</v>
      </c>
      <c r="C79" s="43">
        <f t="shared" si="8"/>
        <v>166</v>
      </c>
      <c r="D79" s="42">
        <v>166</v>
      </c>
      <c r="E79" s="42">
        <v>0</v>
      </c>
      <c r="F79" s="42">
        <v>0</v>
      </c>
      <c r="G79" s="42">
        <v>0</v>
      </c>
      <c r="H79" s="43">
        <f t="shared" si="5"/>
        <v>164</v>
      </c>
      <c r="I79" s="42">
        <v>164</v>
      </c>
      <c r="J79" s="42">
        <v>0</v>
      </c>
      <c r="K79" s="42">
        <v>0</v>
      </c>
      <c r="L79" s="42">
        <v>0</v>
      </c>
      <c r="M79" s="43">
        <f t="shared" si="7"/>
        <v>43</v>
      </c>
      <c r="N79" s="205">
        <v>43</v>
      </c>
      <c r="O79" s="42">
        <v>0</v>
      </c>
      <c r="P79" s="42">
        <v>0</v>
      </c>
      <c r="Q79" s="206"/>
      <c r="R79" s="43">
        <f t="shared" si="9"/>
        <v>-123</v>
      </c>
      <c r="S79" s="42">
        <f t="shared" si="10"/>
        <v>-123</v>
      </c>
      <c r="T79" s="42">
        <f t="shared" si="11"/>
        <v>0</v>
      </c>
      <c r="U79" s="42">
        <f t="shared" si="12"/>
        <v>0</v>
      </c>
      <c r="V79" s="41">
        <f t="shared" si="13"/>
        <v>0</v>
      </c>
    </row>
    <row r="80" spans="1:22" ht="15.75" thickBot="1" x14ac:dyDescent="0.25">
      <c r="A80" s="557" t="s">
        <v>378</v>
      </c>
      <c r="B80" s="556" t="s">
        <v>388</v>
      </c>
      <c r="C80" s="527">
        <f t="shared" ref="C80:C103" si="14">SUM(D80:G80)</f>
        <v>2115</v>
      </c>
      <c r="D80" s="555">
        <f>SUM(D77:D79)</f>
        <v>1789</v>
      </c>
      <c r="E80" s="555">
        <f>SUM(E77:E79)</f>
        <v>0</v>
      </c>
      <c r="F80" s="555">
        <f>SUM(F77:F79)</f>
        <v>0</v>
      </c>
      <c r="G80" s="555">
        <f>SUM(G77:G79)</f>
        <v>326</v>
      </c>
      <c r="H80" s="527">
        <f t="shared" si="5"/>
        <v>2097</v>
      </c>
      <c r="I80" s="555">
        <f>SUM(I77:I79)</f>
        <v>1771</v>
      </c>
      <c r="J80" s="555">
        <f>SUM(J77:J79)</f>
        <v>0</v>
      </c>
      <c r="K80" s="555">
        <f>SUM(K77:K79)</f>
        <v>0</v>
      </c>
      <c r="L80" s="555">
        <f>SUM(L77:L79)</f>
        <v>326</v>
      </c>
      <c r="M80" s="527">
        <f t="shared" si="7"/>
        <v>1976</v>
      </c>
      <c r="N80" s="535">
        <f>SUM(N77:N79)</f>
        <v>1770</v>
      </c>
      <c r="O80" s="555">
        <f>SUM(O77:O79)</f>
        <v>0</v>
      </c>
      <c r="P80" s="555">
        <f>SUM(P77:P79)</f>
        <v>0</v>
      </c>
      <c r="Q80" s="534">
        <f>SUM(Q77:Q79)</f>
        <v>206</v>
      </c>
      <c r="R80" s="527">
        <f t="shared" ref="R80:R102" si="15">SUM(S80:V80)</f>
        <v>-139</v>
      </c>
      <c r="S80" s="553">
        <f t="shared" ref="S80:S102" si="16">N80-D80</f>
        <v>-19</v>
      </c>
      <c r="T80" s="553">
        <f t="shared" ref="T80:T102" si="17">O80-E80</f>
        <v>0</v>
      </c>
      <c r="U80" s="553">
        <f t="shared" ref="U80:U102" si="18">P80-F80</f>
        <v>0</v>
      </c>
      <c r="V80" s="552">
        <f t="shared" ref="V80:V102" si="19">Q80-G80</f>
        <v>-120</v>
      </c>
    </row>
    <row r="81" spans="1:22" ht="15" hidden="1" thickBot="1" x14ac:dyDescent="0.25">
      <c r="A81" s="560" t="s">
        <v>378</v>
      </c>
      <c r="B81" s="44" t="s">
        <v>387</v>
      </c>
      <c r="C81" s="43">
        <f t="shared" si="14"/>
        <v>1294</v>
      </c>
      <c r="D81" s="42">
        <v>1146</v>
      </c>
      <c r="E81" s="42">
        <v>0</v>
      </c>
      <c r="F81" s="42">
        <v>0</v>
      </c>
      <c r="G81" s="42">
        <v>148</v>
      </c>
      <c r="H81" s="43">
        <f t="shared" ref="H81:H102" si="20">SUM(I81:L81)</f>
        <v>1294</v>
      </c>
      <c r="I81" s="42">
        <v>1146</v>
      </c>
      <c r="J81" s="42">
        <v>0</v>
      </c>
      <c r="K81" s="42">
        <v>0</v>
      </c>
      <c r="L81" s="42">
        <v>148</v>
      </c>
      <c r="M81" s="43">
        <f t="shared" ref="M81:M102" si="21">SUM(N81:Q81)</f>
        <v>1361</v>
      </c>
      <c r="N81" s="205">
        <f>1049-11</f>
        <v>1038</v>
      </c>
      <c r="O81" s="42">
        <v>0</v>
      </c>
      <c r="P81" s="42">
        <v>0</v>
      </c>
      <c r="Q81" s="206">
        <v>323</v>
      </c>
      <c r="R81" s="43">
        <f t="shared" si="15"/>
        <v>67</v>
      </c>
      <c r="S81" s="42">
        <f t="shared" si="16"/>
        <v>-108</v>
      </c>
      <c r="T81" s="42">
        <f t="shared" si="17"/>
        <v>0</v>
      </c>
      <c r="U81" s="42">
        <f t="shared" si="18"/>
        <v>0</v>
      </c>
      <c r="V81" s="41">
        <f t="shared" si="19"/>
        <v>175</v>
      </c>
    </row>
    <row r="82" spans="1:22" ht="15" hidden="1" thickBot="1" x14ac:dyDescent="0.25">
      <c r="A82" s="560" t="s">
        <v>378</v>
      </c>
      <c r="B82" s="44" t="s">
        <v>387</v>
      </c>
      <c r="C82" s="43">
        <f t="shared" si="14"/>
        <v>258</v>
      </c>
      <c r="D82" s="42">
        <v>190</v>
      </c>
      <c r="E82" s="42">
        <v>0</v>
      </c>
      <c r="F82" s="42">
        <v>0</v>
      </c>
      <c r="G82" s="42">
        <v>68</v>
      </c>
      <c r="H82" s="43">
        <f t="shared" si="20"/>
        <v>258</v>
      </c>
      <c r="I82" s="42">
        <v>190</v>
      </c>
      <c r="J82" s="42">
        <v>0</v>
      </c>
      <c r="K82" s="42">
        <v>0</v>
      </c>
      <c r="L82" s="42">
        <v>68</v>
      </c>
      <c r="M82" s="43">
        <f t="shared" si="21"/>
        <v>232</v>
      </c>
      <c r="N82" s="205">
        <v>232</v>
      </c>
      <c r="O82" s="42">
        <v>0</v>
      </c>
      <c r="P82" s="42">
        <v>0</v>
      </c>
      <c r="Q82" s="206"/>
      <c r="R82" s="43">
        <f t="shared" si="15"/>
        <v>-26</v>
      </c>
      <c r="S82" s="42">
        <f t="shared" si="16"/>
        <v>42</v>
      </c>
      <c r="T82" s="42">
        <f t="shared" si="17"/>
        <v>0</v>
      </c>
      <c r="U82" s="42">
        <f t="shared" si="18"/>
        <v>0</v>
      </c>
      <c r="V82" s="41">
        <f t="shared" si="19"/>
        <v>-68</v>
      </c>
    </row>
    <row r="83" spans="1:22" ht="15" hidden="1" thickBot="1" x14ac:dyDescent="0.25">
      <c r="A83" s="560" t="s">
        <v>378</v>
      </c>
      <c r="B83" s="44" t="s">
        <v>387</v>
      </c>
      <c r="C83" s="43">
        <f t="shared" si="14"/>
        <v>329</v>
      </c>
      <c r="D83" s="42">
        <v>200</v>
      </c>
      <c r="E83" s="42">
        <v>0</v>
      </c>
      <c r="F83" s="42">
        <v>0</v>
      </c>
      <c r="G83" s="42">
        <v>129</v>
      </c>
      <c r="H83" s="43">
        <f t="shared" si="20"/>
        <v>329</v>
      </c>
      <c r="I83" s="42">
        <v>200</v>
      </c>
      <c r="J83" s="42">
        <v>0</v>
      </c>
      <c r="K83" s="42">
        <v>0</v>
      </c>
      <c r="L83" s="42">
        <v>129</v>
      </c>
      <c r="M83" s="43">
        <f t="shared" si="21"/>
        <v>255</v>
      </c>
      <c r="N83" s="205">
        <v>255</v>
      </c>
      <c r="O83" s="42">
        <v>0</v>
      </c>
      <c r="P83" s="42">
        <v>0</v>
      </c>
      <c r="Q83" s="206"/>
      <c r="R83" s="43">
        <f t="shared" si="15"/>
        <v>-74</v>
      </c>
      <c r="S83" s="42">
        <f t="shared" si="16"/>
        <v>55</v>
      </c>
      <c r="T83" s="42">
        <f t="shared" si="17"/>
        <v>0</v>
      </c>
      <c r="U83" s="42">
        <f t="shared" si="18"/>
        <v>0</v>
      </c>
      <c r="V83" s="41">
        <f t="shared" si="19"/>
        <v>-129</v>
      </c>
    </row>
    <row r="84" spans="1:22" ht="15.75" thickBot="1" x14ac:dyDescent="0.25">
      <c r="A84" s="557" t="s">
        <v>378</v>
      </c>
      <c r="B84" s="556" t="s">
        <v>387</v>
      </c>
      <c r="C84" s="527">
        <f t="shared" si="14"/>
        <v>1881</v>
      </c>
      <c r="D84" s="555">
        <f>SUM(D81:D83)</f>
        <v>1536</v>
      </c>
      <c r="E84" s="555">
        <f>SUM(E81:E83)</f>
        <v>0</v>
      </c>
      <c r="F84" s="555">
        <f>SUM(F81:F83)</f>
        <v>0</v>
      </c>
      <c r="G84" s="555">
        <f>SUM(G81:G83)</f>
        <v>345</v>
      </c>
      <c r="H84" s="527">
        <f t="shared" si="20"/>
        <v>1881</v>
      </c>
      <c r="I84" s="555">
        <f>SUM(I81:I83)</f>
        <v>1536</v>
      </c>
      <c r="J84" s="555">
        <f>SUM(J81:J83)</f>
        <v>0</v>
      </c>
      <c r="K84" s="555">
        <f>SUM(K81:K83)</f>
        <v>0</v>
      </c>
      <c r="L84" s="555">
        <f>SUM(L81:L83)</f>
        <v>345</v>
      </c>
      <c r="M84" s="527">
        <f t="shared" si="21"/>
        <v>1848</v>
      </c>
      <c r="N84" s="535">
        <f>SUM(N81:N83)</f>
        <v>1525</v>
      </c>
      <c r="O84" s="555">
        <f>SUM(O81:O83)</f>
        <v>0</v>
      </c>
      <c r="P84" s="555">
        <f>SUM(P81:P83)</f>
        <v>0</v>
      </c>
      <c r="Q84" s="534">
        <f>SUM(Q81:Q83)</f>
        <v>323</v>
      </c>
      <c r="R84" s="527">
        <f t="shared" si="15"/>
        <v>-33</v>
      </c>
      <c r="S84" s="553">
        <f t="shared" si="16"/>
        <v>-11</v>
      </c>
      <c r="T84" s="553">
        <f t="shared" si="17"/>
        <v>0</v>
      </c>
      <c r="U84" s="553">
        <f t="shared" si="18"/>
        <v>0</v>
      </c>
      <c r="V84" s="552">
        <f t="shared" si="19"/>
        <v>-22</v>
      </c>
    </row>
    <row r="85" spans="1:22" ht="15" hidden="1" thickBot="1" x14ac:dyDescent="0.25">
      <c r="A85" s="560" t="s">
        <v>378</v>
      </c>
      <c r="B85" s="44" t="s">
        <v>386</v>
      </c>
      <c r="C85" s="43">
        <f t="shared" si="14"/>
        <v>78</v>
      </c>
      <c r="D85" s="42">
        <v>78</v>
      </c>
      <c r="E85" s="42">
        <v>0</v>
      </c>
      <c r="F85" s="42">
        <v>0</v>
      </c>
      <c r="G85" s="42">
        <v>0</v>
      </c>
      <c r="H85" s="43">
        <f t="shared" si="20"/>
        <v>77</v>
      </c>
      <c r="I85" s="42">
        <v>77</v>
      </c>
      <c r="J85" s="42">
        <v>0</v>
      </c>
      <c r="K85" s="42">
        <v>0</v>
      </c>
      <c r="L85" s="42">
        <v>0</v>
      </c>
      <c r="M85" s="43">
        <f t="shared" si="21"/>
        <v>77</v>
      </c>
      <c r="N85" s="205">
        <v>77</v>
      </c>
      <c r="O85" s="42">
        <v>0</v>
      </c>
      <c r="P85" s="42">
        <v>0</v>
      </c>
      <c r="Q85" s="206"/>
      <c r="R85" s="43">
        <f t="shared" si="15"/>
        <v>-1</v>
      </c>
      <c r="S85" s="42">
        <f t="shared" si="16"/>
        <v>-1</v>
      </c>
      <c r="T85" s="42">
        <f t="shared" si="17"/>
        <v>0</v>
      </c>
      <c r="U85" s="42">
        <f t="shared" si="18"/>
        <v>0</v>
      </c>
      <c r="V85" s="41">
        <f t="shared" si="19"/>
        <v>0</v>
      </c>
    </row>
    <row r="86" spans="1:22" ht="15.75" thickBot="1" x14ac:dyDescent="0.25">
      <c r="A86" s="557" t="s">
        <v>378</v>
      </c>
      <c r="B86" s="556" t="s">
        <v>386</v>
      </c>
      <c r="C86" s="527">
        <f t="shared" si="14"/>
        <v>78</v>
      </c>
      <c r="D86" s="555">
        <f>SUM(D85)</f>
        <v>78</v>
      </c>
      <c r="E86" s="555">
        <f>SUM(E85)</f>
        <v>0</v>
      </c>
      <c r="F86" s="555">
        <f>SUM(F85)</f>
        <v>0</v>
      </c>
      <c r="G86" s="555">
        <f>SUM(G85)</f>
        <v>0</v>
      </c>
      <c r="H86" s="43">
        <f t="shared" si="20"/>
        <v>77</v>
      </c>
      <c r="I86" s="555">
        <f>SUM(I85)</f>
        <v>77</v>
      </c>
      <c r="J86" s="555">
        <f>SUM(J85)</f>
        <v>0</v>
      </c>
      <c r="K86" s="555">
        <f>SUM(K85)</f>
        <v>0</v>
      </c>
      <c r="L86" s="555">
        <f>SUM(L85)</f>
        <v>0</v>
      </c>
      <c r="M86" s="527">
        <f t="shared" si="21"/>
        <v>77</v>
      </c>
      <c r="N86" s="535">
        <f>SUM(N85)</f>
        <v>77</v>
      </c>
      <c r="O86" s="555">
        <f>SUM(O85)</f>
        <v>0</v>
      </c>
      <c r="P86" s="555">
        <f>SUM(P85)</f>
        <v>0</v>
      </c>
      <c r="Q86" s="534">
        <f>SUM(Q85)</f>
        <v>0</v>
      </c>
      <c r="R86" s="527">
        <f t="shared" si="15"/>
        <v>-1</v>
      </c>
      <c r="S86" s="553">
        <f t="shared" si="16"/>
        <v>-1</v>
      </c>
      <c r="T86" s="553">
        <f t="shared" si="17"/>
        <v>0</v>
      </c>
      <c r="U86" s="553">
        <f t="shared" si="18"/>
        <v>0</v>
      </c>
      <c r="V86" s="552">
        <f t="shared" si="19"/>
        <v>0</v>
      </c>
    </row>
    <row r="87" spans="1:22" ht="15" hidden="1" thickBot="1" x14ac:dyDescent="0.25">
      <c r="A87" s="560" t="s">
        <v>378</v>
      </c>
      <c r="B87" s="44" t="s">
        <v>385</v>
      </c>
      <c r="C87" s="43">
        <f t="shared" si="14"/>
        <v>204</v>
      </c>
      <c r="D87" s="42">
        <v>179</v>
      </c>
      <c r="E87" s="42">
        <v>0</v>
      </c>
      <c r="F87" s="42">
        <v>0</v>
      </c>
      <c r="G87" s="42">
        <v>25</v>
      </c>
      <c r="H87" s="43">
        <f t="shared" si="20"/>
        <v>202</v>
      </c>
      <c r="I87" s="42">
        <v>177</v>
      </c>
      <c r="J87" s="42">
        <v>0</v>
      </c>
      <c r="K87" s="42">
        <v>0</v>
      </c>
      <c r="L87" s="42">
        <v>25</v>
      </c>
      <c r="M87" s="43">
        <f t="shared" si="21"/>
        <v>178</v>
      </c>
      <c r="N87" s="205">
        <v>170</v>
      </c>
      <c r="O87" s="42">
        <v>0</v>
      </c>
      <c r="P87" s="42">
        <v>0</v>
      </c>
      <c r="Q87" s="206">
        <v>8</v>
      </c>
      <c r="R87" s="43">
        <f t="shared" si="15"/>
        <v>-26</v>
      </c>
      <c r="S87" s="42">
        <f t="shared" si="16"/>
        <v>-9</v>
      </c>
      <c r="T87" s="42">
        <f t="shared" si="17"/>
        <v>0</v>
      </c>
      <c r="U87" s="42">
        <f t="shared" si="18"/>
        <v>0</v>
      </c>
      <c r="V87" s="41">
        <f t="shared" si="19"/>
        <v>-17</v>
      </c>
    </row>
    <row r="88" spans="1:22" ht="15.75" thickBot="1" x14ac:dyDescent="0.25">
      <c r="A88" s="557" t="s">
        <v>378</v>
      </c>
      <c r="B88" s="556" t="s">
        <v>385</v>
      </c>
      <c r="C88" s="527">
        <f t="shared" si="14"/>
        <v>204</v>
      </c>
      <c r="D88" s="555">
        <f>SUM(D87)</f>
        <v>179</v>
      </c>
      <c r="E88" s="555">
        <f>SUM(E87)</f>
        <v>0</v>
      </c>
      <c r="F88" s="555">
        <f>SUM(F87)</f>
        <v>0</v>
      </c>
      <c r="G88" s="555">
        <f>SUM(G87)</f>
        <v>25</v>
      </c>
      <c r="H88" s="43">
        <f t="shared" si="20"/>
        <v>202</v>
      </c>
      <c r="I88" s="555">
        <f>SUM(I87)</f>
        <v>177</v>
      </c>
      <c r="J88" s="555">
        <f>SUM(J87)</f>
        <v>0</v>
      </c>
      <c r="K88" s="555">
        <f>SUM(K87)</f>
        <v>0</v>
      </c>
      <c r="L88" s="555">
        <f>SUM(L87)</f>
        <v>25</v>
      </c>
      <c r="M88" s="527">
        <f t="shared" si="21"/>
        <v>178</v>
      </c>
      <c r="N88" s="535">
        <f>SUM(N87)</f>
        <v>170</v>
      </c>
      <c r="O88" s="555">
        <f>SUM(O87)</f>
        <v>0</v>
      </c>
      <c r="P88" s="555">
        <f>SUM(P87)</f>
        <v>0</v>
      </c>
      <c r="Q88" s="534">
        <f>SUM(Q87)</f>
        <v>8</v>
      </c>
      <c r="R88" s="527">
        <f t="shared" si="15"/>
        <v>-26</v>
      </c>
      <c r="S88" s="553">
        <f t="shared" si="16"/>
        <v>-9</v>
      </c>
      <c r="T88" s="553">
        <f t="shared" si="17"/>
        <v>0</v>
      </c>
      <c r="U88" s="553">
        <f t="shared" si="18"/>
        <v>0</v>
      </c>
      <c r="V88" s="552">
        <f t="shared" si="19"/>
        <v>-17</v>
      </c>
    </row>
    <row r="89" spans="1:22" ht="15" hidden="1" thickBot="1" x14ac:dyDescent="0.25">
      <c r="A89" s="560" t="s">
        <v>378</v>
      </c>
      <c r="B89" s="44" t="s">
        <v>384</v>
      </c>
      <c r="C89" s="43">
        <f t="shared" si="14"/>
        <v>24</v>
      </c>
      <c r="D89" s="42">
        <v>24</v>
      </c>
      <c r="E89" s="42">
        <v>0</v>
      </c>
      <c r="F89" s="42">
        <v>0</v>
      </c>
      <c r="G89" s="42">
        <v>0</v>
      </c>
      <c r="H89" s="43">
        <f t="shared" si="20"/>
        <v>24</v>
      </c>
      <c r="I89" s="42">
        <v>24</v>
      </c>
      <c r="J89" s="42">
        <v>0</v>
      </c>
      <c r="K89" s="42">
        <v>0</v>
      </c>
      <c r="L89" s="42">
        <v>0</v>
      </c>
      <c r="M89" s="43">
        <f t="shared" si="21"/>
        <v>23</v>
      </c>
      <c r="N89" s="205">
        <v>23</v>
      </c>
      <c r="O89" s="42">
        <v>0</v>
      </c>
      <c r="P89" s="42">
        <v>0</v>
      </c>
      <c r="Q89" s="206">
        <v>0</v>
      </c>
      <c r="R89" s="43">
        <f t="shared" si="15"/>
        <v>-1</v>
      </c>
      <c r="S89" s="42">
        <f t="shared" si="16"/>
        <v>-1</v>
      </c>
      <c r="T89" s="42">
        <f t="shared" si="17"/>
        <v>0</v>
      </c>
      <c r="U89" s="42">
        <f t="shared" si="18"/>
        <v>0</v>
      </c>
      <c r="V89" s="41">
        <f t="shared" si="19"/>
        <v>0</v>
      </c>
    </row>
    <row r="90" spans="1:22" ht="15.75" thickBot="1" x14ac:dyDescent="0.25">
      <c r="A90" s="557" t="s">
        <v>378</v>
      </c>
      <c r="B90" s="556" t="s">
        <v>384</v>
      </c>
      <c r="C90" s="527">
        <f t="shared" si="14"/>
        <v>24</v>
      </c>
      <c r="D90" s="555">
        <f>SUM(D89)</f>
        <v>24</v>
      </c>
      <c r="E90" s="555">
        <f>SUM(E89)</f>
        <v>0</v>
      </c>
      <c r="F90" s="555">
        <f>SUM(F89)</f>
        <v>0</v>
      </c>
      <c r="G90" s="555">
        <f>SUM(G89)</f>
        <v>0</v>
      </c>
      <c r="H90" s="527">
        <f t="shared" si="20"/>
        <v>24</v>
      </c>
      <c r="I90" s="555">
        <f>SUM(I89)</f>
        <v>24</v>
      </c>
      <c r="J90" s="555">
        <f>SUM(J89)</f>
        <v>0</v>
      </c>
      <c r="K90" s="555">
        <f>SUM(K89)</f>
        <v>0</v>
      </c>
      <c r="L90" s="555">
        <f>SUM(L89)</f>
        <v>0</v>
      </c>
      <c r="M90" s="527">
        <f t="shared" si="21"/>
        <v>23</v>
      </c>
      <c r="N90" s="535">
        <f>SUM(N89)</f>
        <v>23</v>
      </c>
      <c r="O90" s="555">
        <f>SUM(O89)</f>
        <v>0</v>
      </c>
      <c r="P90" s="555">
        <f>SUM(P89)</f>
        <v>0</v>
      </c>
      <c r="Q90" s="534">
        <f>SUM(Q89)</f>
        <v>0</v>
      </c>
      <c r="R90" s="527">
        <f t="shared" si="15"/>
        <v>-1</v>
      </c>
      <c r="S90" s="553">
        <f t="shared" si="16"/>
        <v>-1</v>
      </c>
      <c r="T90" s="553">
        <f t="shared" si="17"/>
        <v>0</v>
      </c>
      <c r="U90" s="553">
        <f t="shared" si="18"/>
        <v>0</v>
      </c>
      <c r="V90" s="552">
        <f t="shared" si="19"/>
        <v>0</v>
      </c>
    </row>
    <row r="91" spans="1:22" ht="15" hidden="1" thickBot="1" x14ac:dyDescent="0.25">
      <c r="A91" s="560" t="s">
        <v>378</v>
      </c>
      <c r="B91" s="44" t="s">
        <v>383</v>
      </c>
      <c r="C91" s="43">
        <f t="shared" si="14"/>
        <v>305</v>
      </c>
      <c r="D91" s="42">
        <v>58</v>
      </c>
      <c r="E91" s="42">
        <v>0</v>
      </c>
      <c r="F91" s="42">
        <v>0</v>
      </c>
      <c r="G91" s="42">
        <v>247</v>
      </c>
      <c r="H91" s="43">
        <f t="shared" si="20"/>
        <v>304</v>
      </c>
      <c r="I91" s="42">
        <v>57</v>
      </c>
      <c r="J91" s="42">
        <v>0</v>
      </c>
      <c r="K91" s="42">
        <v>0</v>
      </c>
      <c r="L91" s="42">
        <v>247</v>
      </c>
      <c r="M91" s="43">
        <f t="shared" si="21"/>
        <v>253</v>
      </c>
      <c r="N91" s="205">
        <f>54+25</f>
        <v>79</v>
      </c>
      <c r="O91" s="42">
        <v>0</v>
      </c>
      <c r="P91" s="42">
        <v>0</v>
      </c>
      <c r="Q91" s="206">
        <v>174</v>
      </c>
      <c r="R91" s="43">
        <f t="shared" si="15"/>
        <v>-52</v>
      </c>
      <c r="S91" s="42">
        <f t="shared" si="16"/>
        <v>21</v>
      </c>
      <c r="T91" s="42">
        <f t="shared" si="17"/>
        <v>0</v>
      </c>
      <c r="U91" s="42">
        <f t="shared" si="18"/>
        <v>0</v>
      </c>
      <c r="V91" s="41">
        <f t="shared" si="19"/>
        <v>-73</v>
      </c>
    </row>
    <row r="92" spans="1:22" ht="15.75" thickBot="1" x14ac:dyDescent="0.25">
      <c r="A92" s="557" t="s">
        <v>378</v>
      </c>
      <c r="B92" s="556" t="s">
        <v>383</v>
      </c>
      <c r="C92" s="527">
        <f t="shared" si="14"/>
        <v>305</v>
      </c>
      <c r="D92" s="555">
        <f>SUM(D91)</f>
        <v>58</v>
      </c>
      <c r="E92" s="555">
        <f>SUM(E91)</f>
        <v>0</v>
      </c>
      <c r="F92" s="555">
        <f>SUM(F91)</f>
        <v>0</v>
      </c>
      <c r="G92" s="555">
        <f>SUM(G91)</f>
        <v>247</v>
      </c>
      <c r="H92" s="527">
        <f t="shared" si="20"/>
        <v>304</v>
      </c>
      <c r="I92" s="555">
        <f>SUM(I91)</f>
        <v>57</v>
      </c>
      <c r="J92" s="555">
        <f>SUM(J91)</f>
        <v>0</v>
      </c>
      <c r="K92" s="555">
        <f>SUM(K91)</f>
        <v>0</v>
      </c>
      <c r="L92" s="555">
        <f>SUM(L91)</f>
        <v>247</v>
      </c>
      <c r="M92" s="527">
        <f t="shared" si="21"/>
        <v>253</v>
      </c>
      <c r="N92" s="535">
        <f>SUM(N91)</f>
        <v>79</v>
      </c>
      <c r="O92" s="555">
        <f>SUM(O91)</f>
        <v>0</v>
      </c>
      <c r="P92" s="555">
        <f>SUM(P91)</f>
        <v>0</v>
      </c>
      <c r="Q92" s="534">
        <f>SUM(Q91)</f>
        <v>174</v>
      </c>
      <c r="R92" s="527">
        <f t="shared" si="15"/>
        <v>-52</v>
      </c>
      <c r="S92" s="553">
        <f t="shared" si="16"/>
        <v>21</v>
      </c>
      <c r="T92" s="553">
        <f t="shared" si="17"/>
        <v>0</v>
      </c>
      <c r="U92" s="553">
        <f t="shared" si="18"/>
        <v>0</v>
      </c>
      <c r="V92" s="552">
        <f t="shared" si="19"/>
        <v>-73</v>
      </c>
    </row>
    <row r="93" spans="1:22" ht="15" hidden="1" thickBot="1" x14ac:dyDescent="0.25">
      <c r="A93" s="560" t="s">
        <v>378</v>
      </c>
      <c r="B93" s="44" t="s">
        <v>382</v>
      </c>
      <c r="C93" s="43">
        <f t="shared" si="14"/>
        <v>60</v>
      </c>
      <c r="D93" s="42">
        <v>48</v>
      </c>
      <c r="E93" s="42">
        <v>0</v>
      </c>
      <c r="F93" s="42">
        <v>0</v>
      </c>
      <c r="G93" s="42">
        <v>12</v>
      </c>
      <c r="H93" s="43">
        <f t="shared" si="20"/>
        <v>60</v>
      </c>
      <c r="I93" s="42">
        <v>48</v>
      </c>
      <c r="J93" s="42">
        <v>0</v>
      </c>
      <c r="K93" s="42">
        <v>0</v>
      </c>
      <c r="L93" s="42">
        <v>12</v>
      </c>
      <c r="M93" s="43">
        <f t="shared" si="21"/>
        <v>56</v>
      </c>
      <c r="N93" s="205">
        <f>46-2</f>
        <v>44</v>
      </c>
      <c r="O93" s="42">
        <v>0</v>
      </c>
      <c r="P93" s="42">
        <v>0</v>
      </c>
      <c r="Q93" s="206">
        <v>12</v>
      </c>
      <c r="R93" s="43">
        <f t="shared" si="15"/>
        <v>-4</v>
      </c>
      <c r="S93" s="42">
        <f t="shared" si="16"/>
        <v>-4</v>
      </c>
      <c r="T93" s="42">
        <f t="shared" si="17"/>
        <v>0</v>
      </c>
      <c r="U93" s="42">
        <f t="shared" si="18"/>
        <v>0</v>
      </c>
      <c r="V93" s="41">
        <f t="shared" si="19"/>
        <v>0</v>
      </c>
    </row>
    <row r="94" spans="1:22" ht="26.25" thickBot="1" x14ac:dyDescent="0.25">
      <c r="A94" s="557" t="s">
        <v>378</v>
      </c>
      <c r="B94" s="556" t="s">
        <v>382</v>
      </c>
      <c r="C94" s="527">
        <f t="shared" si="14"/>
        <v>60</v>
      </c>
      <c r="D94" s="555">
        <f>SUM(D93)</f>
        <v>48</v>
      </c>
      <c r="E94" s="555">
        <v>0</v>
      </c>
      <c r="F94" s="555">
        <v>0</v>
      </c>
      <c r="G94" s="555">
        <v>12</v>
      </c>
      <c r="H94" s="527">
        <f t="shared" si="20"/>
        <v>60</v>
      </c>
      <c r="I94" s="555">
        <v>48</v>
      </c>
      <c r="J94" s="555">
        <v>0</v>
      </c>
      <c r="K94" s="555">
        <v>0</v>
      </c>
      <c r="L94" s="555">
        <v>12</v>
      </c>
      <c r="M94" s="527">
        <f t="shared" si="21"/>
        <v>56</v>
      </c>
      <c r="N94" s="535">
        <f>SUM(N93)</f>
        <v>44</v>
      </c>
      <c r="O94" s="555">
        <v>0</v>
      </c>
      <c r="P94" s="555">
        <v>0</v>
      </c>
      <c r="Q94" s="534">
        <v>12</v>
      </c>
      <c r="R94" s="527">
        <f t="shared" si="15"/>
        <v>-4</v>
      </c>
      <c r="S94" s="553">
        <f t="shared" si="16"/>
        <v>-4</v>
      </c>
      <c r="T94" s="553">
        <f t="shared" si="17"/>
        <v>0</v>
      </c>
      <c r="U94" s="553">
        <f t="shared" si="18"/>
        <v>0</v>
      </c>
      <c r="V94" s="552">
        <f t="shared" si="19"/>
        <v>0</v>
      </c>
    </row>
    <row r="95" spans="1:22" ht="15" hidden="1" thickBot="1" x14ac:dyDescent="0.25">
      <c r="A95" s="560" t="s">
        <v>378</v>
      </c>
      <c r="B95" s="44" t="s">
        <v>381</v>
      </c>
      <c r="C95" s="43">
        <f t="shared" si="14"/>
        <v>781</v>
      </c>
      <c r="D95" s="42">
        <v>690</v>
      </c>
      <c r="E95" s="42">
        <v>0</v>
      </c>
      <c r="F95" s="42">
        <v>0</v>
      </c>
      <c r="G95" s="42">
        <v>91</v>
      </c>
      <c r="H95" s="43">
        <f t="shared" si="20"/>
        <v>774</v>
      </c>
      <c r="I95" s="42">
        <v>683</v>
      </c>
      <c r="J95" s="42">
        <v>0</v>
      </c>
      <c r="K95" s="42">
        <v>0</v>
      </c>
      <c r="L95" s="42">
        <v>91</v>
      </c>
      <c r="M95" s="43">
        <f t="shared" si="21"/>
        <v>704</v>
      </c>
      <c r="N95" s="205">
        <v>649</v>
      </c>
      <c r="O95" s="42">
        <v>0</v>
      </c>
      <c r="P95" s="42">
        <v>0</v>
      </c>
      <c r="Q95" s="206">
        <v>55</v>
      </c>
      <c r="R95" s="43">
        <f t="shared" si="15"/>
        <v>-77</v>
      </c>
      <c r="S95" s="42">
        <f t="shared" si="16"/>
        <v>-41</v>
      </c>
      <c r="T95" s="42">
        <f t="shared" si="17"/>
        <v>0</v>
      </c>
      <c r="U95" s="42">
        <f t="shared" si="18"/>
        <v>0</v>
      </c>
      <c r="V95" s="41">
        <f t="shared" si="19"/>
        <v>-36</v>
      </c>
    </row>
    <row r="96" spans="1:22" ht="15.75" thickBot="1" x14ac:dyDescent="0.25">
      <c r="A96" s="557" t="s">
        <v>378</v>
      </c>
      <c r="B96" s="556" t="s">
        <v>381</v>
      </c>
      <c r="C96" s="527">
        <f t="shared" si="14"/>
        <v>781</v>
      </c>
      <c r="D96" s="555">
        <f>SUM(D95)</f>
        <v>690</v>
      </c>
      <c r="E96" s="555">
        <f>SUM(E95)</f>
        <v>0</v>
      </c>
      <c r="F96" s="555">
        <f>SUM(F95)</f>
        <v>0</v>
      </c>
      <c r="G96" s="555">
        <f>SUM(G95)</f>
        <v>91</v>
      </c>
      <c r="H96" s="527">
        <f t="shared" si="20"/>
        <v>774</v>
      </c>
      <c r="I96" s="555">
        <f>SUM(I95)</f>
        <v>683</v>
      </c>
      <c r="J96" s="555">
        <f>SUM(J95)</f>
        <v>0</v>
      </c>
      <c r="K96" s="555">
        <f>SUM(K95)</f>
        <v>0</v>
      </c>
      <c r="L96" s="555">
        <f>SUM(L95)</f>
        <v>91</v>
      </c>
      <c r="M96" s="527">
        <f t="shared" si="21"/>
        <v>704</v>
      </c>
      <c r="N96" s="535">
        <f>SUM(N95)</f>
        <v>649</v>
      </c>
      <c r="O96" s="555">
        <f>SUM(O95)</f>
        <v>0</v>
      </c>
      <c r="P96" s="555">
        <f>SUM(P95)</f>
        <v>0</v>
      </c>
      <c r="Q96" s="534">
        <f>SUM(Q95)</f>
        <v>55</v>
      </c>
      <c r="R96" s="527">
        <f t="shared" si="15"/>
        <v>-77</v>
      </c>
      <c r="S96" s="553">
        <f t="shared" si="16"/>
        <v>-41</v>
      </c>
      <c r="T96" s="553">
        <f t="shared" si="17"/>
        <v>0</v>
      </c>
      <c r="U96" s="553">
        <f t="shared" si="18"/>
        <v>0</v>
      </c>
      <c r="V96" s="552">
        <f t="shared" si="19"/>
        <v>-36</v>
      </c>
    </row>
    <row r="97" spans="1:22" ht="15" hidden="1" thickBot="1" x14ac:dyDescent="0.25">
      <c r="A97" s="560" t="s">
        <v>378</v>
      </c>
      <c r="B97" s="44" t="s">
        <v>380</v>
      </c>
      <c r="C97" s="43">
        <f t="shared" si="14"/>
        <v>1927</v>
      </c>
      <c r="D97" s="42">
        <v>1716</v>
      </c>
      <c r="E97" s="42">
        <v>0</v>
      </c>
      <c r="F97" s="42">
        <v>0</v>
      </c>
      <c r="G97" s="42">
        <v>211</v>
      </c>
      <c r="H97" s="43">
        <f t="shared" si="20"/>
        <v>1910</v>
      </c>
      <c r="I97" s="42">
        <v>1699</v>
      </c>
      <c r="J97" s="42">
        <v>0</v>
      </c>
      <c r="K97" s="42">
        <v>0</v>
      </c>
      <c r="L97" s="42">
        <v>211</v>
      </c>
      <c r="M97" s="43">
        <f t="shared" si="21"/>
        <v>1704</v>
      </c>
      <c r="N97" s="205">
        <f>1630-5</f>
        <v>1625</v>
      </c>
      <c r="O97" s="42">
        <v>0</v>
      </c>
      <c r="P97" s="42">
        <v>0</v>
      </c>
      <c r="Q97" s="206">
        <v>79</v>
      </c>
      <c r="R97" s="43">
        <f t="shared" si="15"/>
        <v>-223</v>
      </c>
      <c r="S97" s="42">
        <f t="shared" si="16"/>
        <v>-91</v>
      </c>
      <c r="T97" s="42">
        <f t="shared" si="17"/>
        <v>0</v>
      </c>
      <c r="U97" s="42">
        <f t="shared" si="18"/>
        <v>0</v>
      </c>
      <c r="V97" s="41">
        <f t="shared" si="19"/>
        <v>-132</v>
      </c>
    </row>
    <row r="98" spans="1:22" ht="15.75" thickBot="1" x14ac:dyDescent="0.25">
      <c r="A98" s="557" t="s">
        <v>378</v>
      </c>
      <c r="B98" s="556" t="s">
        <v>380</v>
      </c>
      <c r="C98" s="527">
        <f t="shared" si="14"/>
        <v>1927</v>
      </c>
      <c r="D98" s="555">
        <f>SUM(D97)</f>
        <v>1716</v>
      </c>
      <c r="E98" s="555">
        <f>SUM(E97)</f>
        <v>0</v>
      </c>
      <c r="F98" s="555">
        <f>SUM(F97)</f>
        <v>0</v>
      </c>
      <c r="G98" s="555">
        <f>SUM(G97)</f>
        <v>211</v>
      </c>
      <c r="H98" s="527">
        <f t="shared" si="20"/>
        <v>1910</v>
      </c>
      <c r="I98" s="555">
        <f>SUM(I97)</f>
        <v>1699</v>
      </c>
      <c r="J98" s="555">
        <f>SUM(J97)</f>
        <v>0</v>
      </c>
      <c r="K98" s="555">
        <f>SUM(K97)</f>
        <v>0</v>
      </c>
      <c r="L98" s="555">
        <f>SUM(L97)</f>
        <v>211</v>
      </c>
      <c r="M98" s="527">
        <f t="shared" si="21"/>
        <v>1704</v>
      </c>
      <c r="N98" s="535">
        <f>SUM(N97)</f>
        <v>1625</v>
      </c>
      <c r="O98" s="555">
        <f>SUM(O97)</f>
        <v>0</v>
      </c>
      <c r="P98" s="555">
        <f>SUM(P97)</f>
        <v>0</v>
      </c>
      <c r="Q98" s="534">
        <f>SUM(Q97)</f>
        <v>79</v>
      </c>
      <c r="R98" s="527">
        <f t="shared" si="15"/>
        <v>-223</v>
      </c>
      <c r="S98" s="553">
        <f t="shared" si="16"/>
        <v>-91</v>
      </c>
      <c r="T98" s="553">
        <f t="shared" si="17"/>
        <v>0</v>
      </c>
      <c r="U98" s="553">
        <f t="shared" si="18"/>
        <v>0</v>
      </c>
      <c r="V98" s="552">
        <f t="shared" si="19"/>
        <v>-132</v>
      </c>
    </row>
    <row r="99" spans="1:22" ht="15" hidden="1" thickBot="1" x14ac:dyDescent="0.25">
      <c r="A99" s="560" t="s">
        <v>378</v>
      </c>
      <c r="B99" s="44" t="s">
        <v>379</v>
      </c>
      <c r="C99" s="43">
        <f t="shared" si="14"/>
        <v>1626</v>
      </c>
      <c r="D99" s="42">
        <v>1277</v>
      </c>
      <c r="E99" s="42">
        <v>0</v>
      </c>
      <c r="F99" s="42">
        <v>0</v>
      </c>
      <c r="G99" s="42">
        <v>349</v>
      </c>
      <c r="H99" s="43">
        <f t="shared" si="20"/>
        <v>1613</v>
      </c>
      <c r="I99" s="42">
        <v>1264</v>
      </c>
      <c r="J99" s="42">
        <v>0</v>
      </c>
      <c r="K99" s="42">
        <v>0</v>
      </c>
      <c r="L99" s="42">
        <v>349</v>
      </c>
      <c r="M99" s="43">
        <f t="shared" si="21"/>
        <v>1403</v>
      </c>
      <c r="N99" s="205">
        <f>1213-3</f>
        <v>1210</v>
      </c>
      <c r="O99" s="42">
        <v>0</v>
      </c>
      <c r="P99" s="42">
        <v>0</v>
      </c>
      <c r="Q99" s="206">
        <v>193</v>
      </c>
      <c r="R99" s="43">
        <f t="shared" si="15"/>
        <v>-223</v>
      </c>
      <c r="S99" s="42">
        <f t="shared" si="16"/>
        <v>-67</v>
      </c>
      <c r="T99" s="42">
        <f t="shared" si="17"/>
        <v>0</v>
      </c>
      <c r="U99" s="42">
        <f t="shared" si="18"/>
        <v>0</v>
      </c>
      <c r="V99" s="41">
        <f t="shared" si="19"/>
        <v>-156</v>
      </c>
    </row>
    <row r="100" spans="1:22" ht="15.75" thickBot="1" x14ac:dyDescent="0.25">
      <c r="A100" s="557" t="s">
        <v>378</v>
      </c>
      <c r="B100" s="556" t="s">
        <v>379</v>
      </c>
      <c r="C100" s="527">
        <f t="shared" si="14"/>
        <v>1626</v>
      </c>
      <c r="D100" s="555">
        <f>SUM(D99)</f>
        <v>1277</v>
      </c>
      <c r="E100" s="555">
        <f>SUM(E99)</f>
        <v>0</v>
      </c>
      <c r="F100" s="555">
        <f>SUM(F99)</f>
        <v>0</v>
      </c>
      <c r="G100" s="555">
        <f>SUM(G99)</f>
        <v>349</v>
      </c>
      <c r="H100" s="527">
        <f t="shared" si="20"/>
        <v>1613</v>
      </c>
      <c r="I100" s="555">
        <f>SUM(I99)</f>
        <v>1264</v>
      </c>
      <c r="J100" s="555">
        <f>SUM(J99)</f>
        <v>0</v>
      </c>
      <c r="K100" s="555">
        <f>SUM(K99)</f>
        <v>0</v>
      </c>
      <c r="L100" s="555">
        <f>SUM(L99)</f>
        <v>349</v>
      </c>
      <c r="M100" s="527">
        <f t="shared" si="21"/>
        <v>1403</v>
      </c>
      <c r="N100" s="535">
        <f>SUM(N99)</f>
        <v>1210</v>
      </c>
      <c r="O100" s="555">
        <f>SUM(O99)</f>
        <v>0</v>
      </c>
      <c r="P100" s="555">
        <f>SUM(P99)</f>
        <v>0</v>
      </c>
      <c r="Q100" s="534">
        <f>SUM(Q99)</f>
        <v>193</v>
      </c>
      <c r="R100" s="527">
        <f t="shared" si="15"/>
        <v>-223</v>
      </c>
      <c r="S100" s="553">
        <f t="shared" si="16"/>
        <v>-67</v>
      </c>
      <c r="T100" s="553">
        <f t="shared" si="17"/>
        <v>0</v>
      </c>
      <c r="U100" s="553">
        <f t="shared" si="18"/>
        <v>0</v>
      </c>
      <c r="V100" s="552">
        <f t="shared" si="19"/>
        <v>-156</v>
      </c>
    </row>
    <row r="101" spans="1:22" ht="15" hidden="1" thickBot="1" x14ac:dyDescent="0.25">
      <c r="A101" s="560" t="s">
        <v>378</v>
      </c>
      <c r="B101" s="44" t="s">
        <v>377</v>
      </c>
      <c r="C101" s="43">
        <f t="shared" si="14"/>
        <v>1639</v>
      </c>
      <c r="D101" s="42">
        <v>1606</v>
      </c>
      <c r="E101" s="42">
        <v>0</v>
      </c>
      <c r="F101" s="42">
        <v>0</v>
      </c>
      <c r="G101" s="42">
        <v>33</v>
      </c>
      <c r="H101" s="43">
        <f t="shared" si="20"/>
        <v>1623</v>
      </c>
      <c r="I101" s="42">
        <v>1590</v>
      </c>
      <c r="J101" s="42">
        <v>0</v>
      </c>
      <c r="K101" s="42">
        <v>0</v>
      </c>
      <c r="L101" s="42">
        <v>33</v>
      </c>
      <c r="M101" s="43">
        <f t="shared" si="21"/>
        <v>1539</v>
      </c>
      <c r="N101" s="205">
        <f>1526-2</f>
        <v>1524</v>
      </c>
      <c r="O101" s="42">
        <v>0</v>
      </c>
      <c r="P101" s="42">
        <v>0</v>
      </c>
      <c r="Q101" s="206">
        <v>15</v>
      </c>
      <c r="R101" s="43">
        <f t="shared" si="15"/>
        <v>-100</v>
      </c>
      <c r="S101" s="42">
        <f t="shared" si="16"/>
        <v>-82</v>
      </c>
      <c r="T101" s="42">
        <f t="shared" si="17"/>
        <v>0</v>
      </c>
      <c r="U101" s="42">
        <f t="shared" si="18"/>
        <v>0</v>
      </c>
      <c r="V101" s="41">
        <f t="shared" si="19"/>
        <v>-18</v>
      </c>
    </row>
    <row r="102" spans="1:22" ht="15.75" thickBot="1" x14ac:dyDescent="0.25">
      <c r="A102" s="557" t="s">
        <v>378</v>
      </c>
      <c r="B102" s="556" t="s">
        <v>377</v>
      </c>
      <c r="C102" s="527">
        <f t="shared" si="14"/>
        <v>1639</v>
      </c>
      <c r="D102" s="555">
        <f>SUM(D101)</f>
        <v>1606</v>
      </c>
      <c r="E102" s="555">
        <f>SUM(E101)</f>
        <v>0</v>
      </c>
      <c r="F102" s="555">
        <f>SUM(F101)</f>
        <v>0</v>
      </c>
      <c r="G102" s="555">
        <f>SUM(G101)</f>
        <v>33</v>
      </c>
      <c r="H102" s="527">
        <f t="shared" si="20"/>
        <v>1623</v>
      </c>
      <c r="I102" s="555">
        <f>SUM(I101)</f>
        <v>1590</v>
      </c>
      <c r="J102" s="555">
        <f>SUM(J101)</f>
        <v>0</v>
      </c>
      <c r="K102" s="555">
        <f>SUM(K101)</f>
        <v>0</v>
      </c>
      <c r="L102" s="555">
        <f>SUM(L101)</f>
        <v>33</v>
      </c>
      <c r="M102" s="527">
        <f t="shared" si="21"/>
        <v>1539</v>
      </c>
      <c r="N102" s="535">
        <f>SUM(N101)</f>
        <v>1524</v>
      </c>
      <c r="O102" s="555">
        <f>SUM(O101)</f>
        <v>0</v>
      </c>
      <c r="P102" s="555">
        <f>SUM(P101)</f>
        <v>0</v>
      </c>
      <c r="Q102" s="554">
        <f>SUM(Q101)</f>
        <v>15</v>
      </c>
      <c r="R102" s="527">
        <f t="shared" si="15"/>
        <v>-100</v>
      </c>
      <c r="S102" s="553">
        <f t="shared" si="16"/>
        <v>-82</v>
      </c>
      <c r="T102" s="553">
        <f t="shared" si="17"/>
        <v>0</v>
      </c>
      <c r="U102" s="553">
        <f t="shared" si="18"/>
        <v>0</v>
      </c>
      <c r="V102" s="552">
        <f t="shared" si="19"/>
        <v>-18</v>
      </c>
    </row>
    <row r="103" spans="1:22" ht="15.75" customHeight="1" thickBot="1" x14ac:dyDescent="0.25">
      <c r="A103" s="533"/>
      <c r="B103" s="532" t="s">
        <v>376</v>
      </c>
      <c r="C103" s="527">
        <f t="shared" si="14"/>
        <v>85419</v>
      </c>
      <c r="D103" s="553">
        <f>D17+D22+D25+D27+D30+D33+D36+D41+D43+D46+D48+D53+D57+D62+D64+D66+D71+D76+D80+D84+D86+D88+D90+D92+D94+D96+D98+D100+D102</f>
        <v>69206</v>
      </c>
      <c r="E103" s="553">
        <f>E17+E22+E25+E27+E30+E33+E36+E41+E43+E46+E48+E53+E57+E62+E64+E66+E71+E76+E80+E84+E86+E88+E90+E92+E94+E96+E98+E100+E102</f>
        <v>100</v>
      </c>
      <c r="F103" s="553">
        <f>F17+F22+F25+F27+F30+F33+F36+F41+F43+F46+F48+F53+F57+F62+F64+F66+F71+F76+F80+F84+F86+F88+F90+F92+F94+F96+F98+F100+F102</f>
        <v>0</v>
      </c>
      <c r="G103" s="553">
        <f>G17+G22+G25+G27+G30+G33+G36+G41+G43+G46+G48+G53+G57+G62+G64+G66+G71+G76+G80+G84+G86+G88+G90+G92+G94+G96+G98+G100+G102</f>
        <v>16113</v>
      </c>
      <c r="H103" s="527">
        <f>I103+J103+K103+L103</f>
        <v>84581.26</v>
      </c>
      <c r="I103" s="553">
        <f>I17+I22+I25+I27+I30+I33+I36+I41+I43+I46+I48+I53+I57+I62+I64+I66+I71+I76+I80+I84+I86+I88+I90+I92+I94+I96+I98+I100+I102</f>
        <v>68356.31</v>
      </c>
      <c r="J103" s="553">
        <f>J17+J22+J25+J27+J30+J33+J36+J41+J43+J46+J48+J53+J57+J62+J64+J66+J71+J76+J80+J84+J86+J88+J90+J92+J94+J96+J98+J100+J102</f>
        <v>111.69</v>
      </c>
      <c r="K103" s="553">
        <f>K17+K22+K25+K27+K30+K33+K36+K41+K43+K46+K48+K53+K57+K62+K64+K66+K71+K76+K80+K84+K86+K88+K90+K92+K94+K96+K98+K100+K102</f>
        <v>0</v>
      </c>
      <c r="L103" s="553">
        <f>L17+L22+L25+L27+L30+L33+L36+L41+L43+L46+L48+L53+L57+L62+L64+L66+L71+L76+L80+L84+L86+L88+L90+L92+L94+L96+L98+L100+L102</f>
        <v>16113.26</v>
      </c>
      <c r="M103" s="527">
        <f>N103+O103+P103+Q103</f>
        <v>78823</v>
      </c>
      <c r="N103" s="637">
        <f>N17+N22+N25+N27+N30+N33+N36+N41+N43+N46+N48+N53+N57+N62+N64+N66+N71+N76+N80+N84+N86+N88+N90+N92+N94+N96+N98+N100+N102</f>
        <v>64813</v>
      </c>
      <c r="O103" s="553">
        <f>O17+O22+O25+O27+O30+O33+O36+O41+O43+O46+O48+O53+O57+O62+O64+O66+O71+O76+O80+O84+O86+O88+O90+O92+O94+O96+O98+O100+O102</f>
        <v>100</v>
      </c>
      <c r="P103" s="553">
        <f>P17+P22+P25+P27+P30+P33+P36+P41+P43+P46+P48+P53+P57+P62+P64+P66+P71+P76+P80+P84+P86+P88+P90+P92+P94+P96+P98+P100+P102</f>
        <v>0</v>
      </c>
      <c r="Q103" s="552">
        <f>Q17+Q22+Q25+Q27+Q30+Q33+Q36+Q41+Q43+Q46+Q48+Q53+Q57+Q62+Q64+Q66+Q71+Q76+Q80+Q84+Q86+Q88+Q90+Q92+Q94+Q96+Q98+Q100+Q102</f>
        <v>13910</v>
      </c>
      <c r="R103" s="527">
        <f>S103+T103+U103+V103</f>
        <v>-6596</v>
      </c>
      <c r="S103" s="553">
        <f>S17+S22+S25+S27+S30+S33+S36+S41+S43+S46+S48+S53+S57+S62+S64+S66+S71+S76+S80+S84+S86+S88+S90+S92+S94+S96+S98+S100+S102</f>
        <v>-4393</v>
      </c>
      <c r="T103" s="553">
        <f>T17+T22+T25+T27+T30+T33+T36+T41+T43+T46+T48+T53+T57+T62+T64+T66+T71+T76+T80+T84+T86+T88+T90+T92+T94+T96+T98+T100+T102</f>
        <v>0</v>
      </c>
      <c r="U103" s="553">
        <f>U17+U22+U25+U27+U30+U33+U36+U41+U43+U46+U48+U53+U57+U62+U64+U66+U71+U76+U80+U84+U86+U88+U90+U92+U94+U96+U98+U100+U102</f>
        <v>0</v>
      </c>
      <c r="V103" s="552">
        <f>V17+V22+V25+V27+V30+V33+V36+V41+V43+V46+V48+V53+V57+V62+V64+V66+V71+V76+V80+V84+V86+V88+V90+V92+V94+V96+V98+V100+V102</f>
        <v>-2203</v>
      </c>
    </row>
    <row r="104" spans="1:22" hidden="1" x14ac:dyDescent="0.2">
      <c r="M104" s="40">
        <f>M102+M100+M98+M96+M94+M92+M90+M88+M86+M84+M80+M76+M71+M66+M64+M62+M57+M53+M48+M46+M43+M41+M36+M33+M30+M27+M25+M22+M17</f>
        <v>78823</v>
      </c>
    </row>
  </sheetData>
  <mergeCells count="10">
    <mergeCell ref="O12:Q12"/>
    <mergeCell ref="D15:G15"/>
    <mergeCell ref="I15:L15"/>
    <mergeCell ref="N15:Q15"/>
    <mergeCell ref="R11:V11"/>
    <mergeCell ref="O2:Q2"/>
    <mergeCell ref="P10:Q10"/>
    <mergeCell ref="C11:G11"/>
    <mergeCell ref="H11:L11"/>
    <mergeCell ref="M11:Q11"/>
  </mergeCells>
  <pageMargins left="0.70866141732283472" right="0.70866141732283472" top="0.78740157480314965" bottom="0.78740157480314965" header="0.31496062992125984" footer="0.31496062992125984"/>
  <pageSetup paperSize="9" scale="66" firstPageNumber="63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  <ignoredErrors>
    <ignoredError sqref="N97:N99 N101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1:Y55"/>
  <sheetViews>
    <sheetView showGridLines="0" tabSelected="1" topLeftCell="D2" zoomScaleNormal="100" zoomScaleSheetLayoutView="100" workbookViewId="0">
      <selection activeCell="J29" sqref="J29"/>
    </sheetView>
  </sheetViews>
  <sheetFormatPr defaultRowHeight="12.75" x14ac:dyDescent="0.2"/>
  <cols>
    <col min="1" max="1" width="2.7109375" style="24" customWidth="1"/>
    <col min="2" max="2" width="10.7109375" style="24" hidden="1" customWidth="1"/>
    <col min="3" max="3" width="45.7109375" style="24" customWidth="1"/>
    <col min="4" max="4" width="12.7109375" style="40" customWidth="1"/>
    <col min="5" max="8" width="9.7109375" style="40" customWidth="1"/>
    <col min="9" max="9" width="12.7109375" style="40" customWidth="1"/>
    <col min="10" max="13" width="9.7109375" style="40" customWidth="1"/>
    <col min="14" max="14" width="12.7109375" style="40" customWidth="1"/>
    <col min="15" max="18" width="9.7109375" style="40" customWidth="1"/>
    <col min="19" max="19" width="12.7109375" style="40" hidden="1" customWidth="1"/>
    <col min="20" max="23" width="9.7109375" style="40" hidden="1" customWidth="1"/>
    <col min="24" max="25" width="8.85546875" style="40" customWidth="1"/>
    <col min="26" max="16384" width="9.140625" style="24"/>
  </cols>
  <sheetData>
    <row r="1" spans="2:23" hidden="1" x14ac:dyDescent="0.2"/>
    <row r="2" spans="2:23" ht="21.75" x14ac:dyDescent="0.3">
      <c r="B2" s="68"/>
      <c r="C2" s="69" t="s">
        <v>153</v>
      </c>
      <c r="D2" s="67"/>
      <c r="E2" s="67"/>
      <c r="F2" s="67"/>
      <c r="G2" s="67"/>
      <c r="H2" s="67"/>
      <c r="I2" s="65"/>
      <c r="J2" s="65"/>
      <c r="K2" s="65"/>
      <c r="L2" s="65"/>
      <c r="M2" s="65"/>
      <c r="N2" s="65"/>
      <c r="O2" s="65"/>
      <c r="P2" s="65"/>
      <c r="Q2" s="65"/>
      <c r="R2" s="65" t="s">
        <v>246</v>
      </c>
      <c r="S2" s="65"/>
      <c r="T2" s="65"/>
      <c r="U2" s="66" t="s">
        <v>425</v>
      </c>
    </row>
    <row r="3" spans="2:23" hidden="1" x14ac:dyDescent="0.2"/>
    <row r="5" spans="2:23" ht="15.75" x14ac:dyDescent="0.25">
      <c r="C5" s="64" t="s">
        <v>539</v>
      </c>
      <c r="D5" s="64"/>
      <c r="E5" s="63"/>
      <c r="F5" s="62"/>
      <c r="G5" s="61"/>
      <c r="H5" s="61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2:23" ht="15.75" x14ac:dyDescent="0.25">
      <c r="C6" s="63" t="s">
        <v>161</v>
      </c>
      <c r="D6" s="64"/>
      <c r="E6" s="63"/>
      <c r="F6" s="62"/>
      <c r="G6" s="61"/>
      <c r="H6" s="61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2:23" x14ac:dyDescent="0.2">
      <c r="D7" s="24"/>
      <c r="E7" s="24"/>
      <c r="F7" s="24"/>
    </row>
    <row r="8" spans="2:23" ht="18" x14ac:dyDescent="0.25">
      <c r="C8" s="551" t="s">
        <v>424</v>
      </c>
      <c r="D8" s="59"/>
      <c r="E8" s="59"/>
      <c r="F8" s="59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</row>
    <row r="10" spans="2:23" ht="13.5" thickBot="1" x14ac:dyDescent="0.25">
      <c r="B10" s="57"/>
      <c r="C10" s="57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 t="s">
        <v>4</v>
      </c>
      <c r="S10" s="56"/>
      <c r="T10" s="56"/>
      <c r="U10" s="56"/>
    </row>
    <row r="11" spans="2:23" x14ac:dyDescent="0.2">
      <c r="B11" s="248"/>
      <c r="C11" s="248"/>
      <c r="D11" s="727" t="s">
        <v>217</v>
      </c>
      <c r="E11" s="728"/>
      <c r="F11" s="728"/>
      <c r="G11" s="728"/>
      <c r="H11" s="729"/>
      <c r="I11" s="727" t="s">
        <v>372</v>
      </c>
      <c r="J11" s="728"/>
      <c r="K11" s="728"/>
      <c r="L11" s="728"/>
      <c r="M11" s="729"/>
      <c r="N11" s="727" t="s">
        <v>537</v>
      </c>
      <c r="O11" s="728"/>
      <c r="P11" s="728"/>
      <c r="Q11" s="728"/>
      <c r="R11" s="729"/>
      <c r="S11" s="727" t="s">
        <v>5</v>
      </c>
      <c r="T11" s="728"/>
      <c r="U11" s="728"/>
      <c r="V11" s="728"/>
      <c r="W11" s="729"/>
    </row>
    <row r="12" spans="2:23" ht="18" customHeight="1" x14ac:dyDescent="0.2">
      <c r="B12" s="633" t="s">
        <v>7</v>
      </c>
      <c r="C12" s="252" t="s">
        <v>8</v>
      </c>
      <c r="D12" s="256"/>
      <c r="E12" s="254" t="s">
        <v>9</v>
      </c>
      <c r="F12" s="256"/>
      <c r="G12" s="256"/>
      <c r="H12" s="256"/>
      <c r="I12" s="255"/>
      <c r="J12" s="254" t="s">
        <v>9</v>
      </c>
      <c r="K12" s="256"/>
      <c r="L12" s="256"/>
      <c r="M12" s="256"/>
      <c r="N12" s="255"/>
      <c r="O12" s="254" t="s">
        <v>9</v>
      </c>
      <c r="P12" s="735"/>
      <c r="Q12" s="735"/>
      <c r="R12" s="736"/>
      <c r="S12" s="255"/>
      <c r="T12" s="254" t="s">
        <v>9</v>
      </c>
      <c r="U12" s="256"/>
      <c r="V12" s="256"/>
      <c r="W12" s="257"/>
    </row>
    <row r="13" spans="2:23" ht="48" customHeight="1" x14ac:dyDescent="0.2">
      <c r="B13" s="258"/>
      <c r="C13" s="258"/>
      <c r="D13" s="260" t="s">
        <v>10</v>
      </c>
      <c r="E13" s="261" t="s">
        <v>11</v>
      </c>
      <c r="F13" s="261" t="s">
        <v>12</v>
      </c>
      <c r="G13" s="261" t="s">
        <v>13</v>
      </c>
      <c r="H13" s="261" t="s">
        <v>14</v>
      </c>
      <c r="I13" s="260" t="s">
        <v>10</v>
      </c>
      <c r="J13" s="261" t="s">
        <v>11</v>
      </c>
      <c r="K13" s="261" t="s">
        <v>12</v>
      </c>
      <c r="L13" s="261" t="s">
        <v>13</v>
      </c>
      <c r="M13" s="261" t="s">
        <v>14</v>
      </c>
      <c r="N13" s="260" t="s">
        <v>10</v>
      </c>
      <c r="O13" s="261" t="s">
        <v>11</v>
      </c>
      <c r="P13" s="261" t="s">
        <v>12</v>
      </c>
      <c r="Q13" s="261" t="s">
        <v>13</v>
      </c>
      <c r="R13" s="262" t="s">
        <v>14</v>
      </c>
      <c r="S13" s="260" t="s">
        <v>10</v>
      </c>
      <c r="T13" s="261" t="s">
        <v>11</v>
      </c>
      <c r="U13" s="261" t="s">
        <v>12</v>
      </c>
      <c r="V13" s="261" t="s">
        <v>13</v>
      </c>
      <c r="W13" s="262" t="s">
        <v>14</v>
      </c>
    </row>
    <row r="14" spans="2:23" ht="13.5" thickBot="1" x14ac:dyDescent="0.25">
      <c r="B14" s="221"/>
      <c r="C14" s="221"/>
      <c r="D14" s="222"/>
      <c r="E14" s="223" t="s">
        <v>17</v>
      </c>
      <c r="F14" s="223" t="s">
        <v>18</v>
      </c>
      <c r="G14" s="223" t="s">
        <v>19</v>
      </c>
      <c r="H14" s="223" t="s">
        <v>20</v>
      </c>
      <c r="I14" s="222"/>
      <c r="J14" s="223" t="s">
        <v>17</v>
      </c>
      <c r="K14" s="223" t="s">
        <v>18</v>
      </c>
      <c r="L14" s="223" t="s">
        <v>19</v>
      </c>
      <c r="M14" s="223" t="s">
        <v>20</v>
      </c>
      <c r="N14" s="222"/>
      <c r="O14" s="223" t="s">
        <v>17</v>
      </c>
      <c r="P14" s="223" t="s">
        <v>18</v>
      </c>
      <c r="Q14" s="223" t="s">
        <v>19</v>
      </c>
      <c r="R14" s="249" t="s">
        <v>20</v>
      </c>
      <c r="S14" s="222"/>
      <c r="T14" s="223" t="s">
        <v>17</v>
      </c>
      <c r="U14" s="223" t="s">
        <v>18</v>
      </c>
      <c r="V14" s="223" t="s">
        <v>19</v>
      </c>
      <c r="W14" s="249" t="s">
        <v>20</v>
      </c>
    </row>
    <row r="15" spans="2:23" ht="13.5" thickBot="1" x14ac:dyDescent="0.25">
      <c r="B15" s="221"/>
      <c r="C15" s="221"/>
      <c r="D15" s="267" t="s">
        <v>21</v>
      </c>
      <c r="E15" s="732" t="s">
        <v>21</v>
      </c>
      <c r="F15" s="733"/>
      <c r="G15" s="733"/>
      <c r="H15" s="734"/>
      <c r="I15" s="267" t="s">
        <v>21</v>
      </c>
      <c r="J15" s="732" t="s">
        <v>21</v>
      </c>
      <c r="K15" s="733"/>
      <c r="L15" s="733"/>
      <c r="M15" s="734"/>
      <c r="N15" s="267" t="s">
        <v>21</v>
      </c>
      <c r="O15" s="732" t="s">
        <v>21</v>
      </c>
      <c r="P15" s="733"/>
      <c r="Q15" s="733"/>
      <c r="R15" s="734"/>
      <c r="S15" s="222"/>
      <c r="T15" s="223"/>
      <c r="U15" s="223"/>
      <c r="V15" s="223"/>
      <c r="W15" s="249"/>
    </row>
    <row r="16" spans="2:23" ht="15" hidden="1" thickBot="1" x14ac:dyDescent="0.25">
      <c r="B16" s="560" t="s">
        <v>411</v>
      </c>
      <c r="C16" s="44" t="s">
        <v>423</v>
      </c>
      <c r="D16" s="43">
        <f t="shared" ref="D16:D53" si="0">SUM(E16:H16)</f>
        <v>507</v>
      </c>
      <c r="E16" s="42">
        <v>494</v>
      </c>
      <c r="F16" s="42">
        <v>0</v>
      </c>
      <c r="G16" s="42">
        <v>0</v>
      </c>
      <c r="H16" s="42">
        <v>13</v>
      </c>
      <c r="I16" s="43">
        <f>SUM(J16:M16)</f>
        <v>502</v>
      </c>
      <c r="J16" s="42">
        <v>489</v>
      </c>
      <c r="K16" s="42">
        <v>0</v>
      </c>
      <c r="L16" s="42">
        <v>0</v>
      </c>
      <c r="M16" s="42">
        <v>13</v>
      </c>
      <c r="N16" s="43">
        <f>SUM(O16:R16)</f>
        <v>497</v>
      </c>
      <c r="O16" s="42">
        <v>494</v>
      </c>
      <c r="P16" s="42">
        <v>0</v>
      </c>
      <c r="Q16" s="42">
        <v>0</v>
      </c>
      <c r="R16" s="206">
        <v>3</v>
      </c>
      <c r="S16" s="43">
        <f>SUM(T16:W16)</f>
        <v>-10</v>
      </c>
      <c r="T16" s="42">
        <f>O16-E16</f>
        <v>0</v>
      </c>
      <c r="U16" s="42">
        <f t="shared" ref="U16:W16" si="1">P16-F16</f>
        <v>0</v>
      </c>
      <c r="V16" s="42">
        <f t="shared" si="1"/>
        <v>0</v>
      </c>
      <c r="W16" s="41">
        <f t="shared" si="1"/>
        <v>-10</v>
      </c>
    </row>
    <row r="17" spans="2:23" ht="26.25" thickBot="1" x14ac:dyDescent="0.25">
      <c r="B17" s="556" t="s">
        <v>411</v>
      </c>
      <c r="C17" s="556" t="s">
        <v>423</v>
      </c>
      <c r="D17" s="527">
        <f t="shared" si="0"/>
        <v>507</v>
      </c>
      <c r="E17" s="555">
        <f>SUM(E16)</f>
        <v>494</v>
      </c>
      <c r="F17" s="555">
        <f>SUM(F16)</f>
        <v>0</v>
      </c>
      <c r="G17" s="555">
        <f>SUM(G16)</f>
        <v>0</v>
      </c>
      <c r="H17" s="555">
        <f>SUM(H16)</f>
        <v>13</v>
      </c>
      <c r="I17" s="43">
        <f t="shared" ref="I17:I53" si="2">SUM(J17:M17)</f>
        <v>502</v>
      </c>
      <c r="J17" s="555">
        <f>SUM(J16)</f>
        <v>489</v>
      </c>
      <c r="K17" s="555">
        <f>SUM(K16)</f>
        <v>0</v>
      </c>
      <c r="L17" s="555">
        <f>SUM(L16)</f>
        <v>0</v>
      </c>
      <c r="M17" s="555">
        <f>SUM(M16)</f>
        <v>13</v>
      </c>
      <c r="N17" s="527">
        <f t="shared" ref="N17:N53" si="3">SUM(O17:R17)</f>
        <v>497</v>
      </c>
      <c r="O17" s="555">
        <f>SUM(O16)</f>
        <v>494</v>
      </c>
      <c r="P17" s="555">
        <f>SUM(P16)</f>
        <v>0</v>
      </c>
      <c r="Q17" s="555">
        <f>SUM(Q16)</f>
        <v>0</v>
      </c>
      <c r="R17" s="534">
        <f>SUM(R16)</f>
        <v>3</v>
      </c>
      <c r="S17" s="527">
        <f t="shared" ref="S17:S53" si="4">SUM(T17:W17)</f>
        <v>-10</v>
      </c>
      <c r="T17" s="42">
        <f t="shared" ref="T17:T53" si="5">O17-E17</f>
        <v>0</v>
      </c>
      <c r="U17" s="42">
        <f t="shared" ref="U17:U53" si="6">P17-F17</f>
        <v>0</v>
      </c>
      <c r="V17" s="42">
        <f t="shared" ref="V17:V53" si="7">Q17-G17</f>
        <v>0</v>
      </c>
      <c r="W17" s="41">
        <f t="shared" ref="W17:W53" si="8">R17-H17</f>
        <v>-10</v>
      </c>
    </row>
    <row r="18" spans="2:23" ht="15" hidden="1" thickBot="1" x14ac:dyDescent="0.25">
      <c r="B18" s="560" t="s">
        <v>411</v>
      </c>
      <c r="C18" s="44" t="s">
        <v>422</v>
      </c>
      <c r="D18" s="43">
        <f t="shared" si="0"/>
        <v>20</v>
      </c>
      <c r="E18" s="42">
        <v>20</v>
      </c>
      <c r="F18" s="42">
        <v>0</v>
      </c>
      <c r="G18" s="42">
        <v>0</v>
      </c>
      <c r="H18" s="42">
        <v>0</v>
      </c>
      <c r="I18" s="43">
        <f t="shared" si="2"/>
        <v>20</v>
      </c>
      <c r="J18" s="42">
        <v>20</v>
      </c>
      <c r="K18" s="42">
        <v>0</v>
      </c>
      <c r="L18" s="42">
        <v>0</v>
      </c>
      <c r="M18" s="42">
        <v>0</v>
      </c>
      <c r="N18" s="43">
        <f t="shared" si="3"/>
        <v>0</v>
      </c>
      <c r="O18" s="42">
        <v>0</v>
      </c>
      <c r="P18" s="42">
        <v>0</v>
      </c>
      <c r="Q18" s="42">
        <v>0</v>
      </c>
      <c r="R18" s="206"/>
      <c r="S18" s="43">
        <f t="shared" si="4"/>
        <v>-20</v>
      </c>
      <c r="T18" s="42">
        <f t="shared" si="5"/>
        <v>-20</v>
      </c>
      <c r="U18" s="42">
        <f t="shared" si="6"/>
        <v>0</v>
      </c>
      <c r="V18" s="42">
        <f t="shared" si="7"/>
        <v>0</v>
      </c>
      <c r="W18" s="41">
        <f t="shared" si="8"/>
        <v>0</v>
      </c>
    </row>
    <row r="19" spans="2:23" ht="15" hidden="1" thickBot="1" x14ac:dyDescent="0.25">
      <c r="B19" s="560" t="s">
        <v>411</v>
      </c>
      <c r="C19" s="44" t="s">
        <v>422</v>
      </c>
      <c r="D19" s="43">
        <f t="shared" si="0"/>
        <v>403</v>
      </c>
      <c r="E19" s="42">
        <v>403</v>
      </c>
      <c r="F19" s="42">
        <v>0</v>
      </c>
      <c r="G19" s="42">
        <v>0</v>
      </c>
      <c r="H19" s="42">
        <v>0</v>
      </c>
      <c r="I19" s="43">
        <f t="shared" si="2"/>
        <v>399</v>
      </c>
      <c r="J19" s="42">
        <v>399</v>
      </c>
      <c r="K19" s="42">
        <v>0</v>
      </c>
      <c r="L19" s="42">
        <v>0</v>
      </c>
      <c r="M19" s="42">
        <v>0</v>
      </c>
      <c r="N19" s="43">
        <f t="shared" si="3"/>
        <v>422</v>
      </c>
      <c r="O19" s="42">
        <f>423-1</f>
        <v>422</v>
      </c>
      <c r="P19" s="42">
        <v>0</v>
      </c>
      <c r="Q19" s="42">
        <v>0</v>
      </c>
      <c r="R19" s="206"/>
      <c r="S19" s="43">
        <f t="shared" si="4"/>
        <v>19</v>
      </c>
      <c r="T19" s="42">
        <f t="shared" si="5"/>
        <v>19</v>
      </c>
      <c r="U19" s="42">
        <f t="shared" si="6"/>
        <v>0</v>
      </c>
      <c r="V19" s="42">
        <f t="shared" si="7"/>
        <v>0</v>
      </c>
      <c r="W19" s="41">
        <f t="shared" si="8"/>
        <v>0</v>
      </c>
    </row>
    <row r="20" spans="2:23" ht="15.75" thickBot="1" x14ac:dyDescent="0.25">
      <c r="B20" s="556" t="s">
        <v>411</v>
      </c>
      <c r="C20" s="556" t="s">
        <v>422</v>
      </c>
      <c r="D20" s="527">
        <f t="shared" si="0"/>
        <v>423</v>
      </c>
      <c r="E20" s="555">
        <f>SUM(E18:E19)</f>
        <v>423</v>
      </c>
      <c r="F20" s="555">
        <f>SUM(F18:F19)</f>
        <v>0</v>
      </c>
      <c r="G20" s="555">
        <f>SUM(G18:G19)</f>
        <v>0</v>
      </c>
      <c r="H20" s="555">
        <f>SUM(H18:H19)</f>
        <v>0</v>
      </c>
      <c r="I20" s="43">
        <f t="shared" si="2"/>
        <v>419</v>
      </c>
      <c r="J20" s="555">
        <f>SUM(J18:J19)</f>
        <v>419</v>
      </c>
      <c r="K20" s="555">
        <f>SUM(K18:K19)</f>
        <v>0</v>
      </c>
      <c r="L20" s="555">
        <f>SUM(L18:L19)</f>
        <v>0</v>
      </c>
      <c r="M20" s="555">
        <f>SUM(M18:M19)</f>
        <v>0</v>
      </c>
      <c r="N20" s="527">
        <f t="shared" si="3"/>
        <v>422</v>
      </c>
      <c r="O20" s="555">
        <f>SUM(O18:O19)</f>
        <v>422</v>
      </c>
      <c r="P20" s="555">
        <f>SUM(P18:P19)</f>
        <v>0</v>
      </c>
      <c r="Q20" s="555">
        <f>SUM(Q18:Q19)</f>
        <v>0</v>
      </c>
      <c r="R20" s="534">
        <f>SUM(R18:R19)</f>
        <v>0</v>
      </c>
      <c r="S20" s="527">
        <f t="shared" si="4"/>
        <v>-1</v>
      </c>
      <c r="T20" s="42">
        <f t="shared" si="5"/>
        <v>-1</v>
      </c>
      <c r="U20" s="42">
        <f t="shared" si="6"/>
        <v>0</v>
      </c>
      <c r="V20" s="42">
        <f t="shared" si="7"/>
        <v>0</v>
      </c>
      <c r="W20" s="41">
        <f t="shared" si="8"/>
        <v>0</v>
      </c>
    </row>
    <row r="21" spans="2:23" ht="15" hidden="1" thickBot="1" x14ac:dyDescent="0.25">
      <c r="B21" s="560" t="s">
        <v>411</v>
      </c>
      <c r="C21" s="44" t="s">
        <v>421</v>
      </c>
      <c r="D21" s="43">
        <f t="shared" si="0"/>
        <v>2271</v>
      </c>
      <c r="E21" s="42">
        <v>1890</v>
      </c>
      <c r="F21" s="42">
        <v>0</v>
      </c>
      <c r="G21" s="42">
        <v>0</v>
      </c>
      <c r="H21" s="42">
        <v>381</v>
      </c>
      <c r="I21" s="43">
        <f t="shared" si="2"/>
        <v>2252</v>
      </c>
      <c r="J21" s="42">
        <v>1871</v>
      </c>
      <c r="K21" s="42">
        <v>0</v>
      </c>
      <c r="L21" s="42">
        <v>0</v>
      </c>
      <c r="M21" s="42">
        <v>381</v>
      </c>
      <c r="N21" s="43">
        <f t="shared" si="3"/>
        <v>2073</v>
      </c>
      <c r="O21" s="42">
        <f>1795-7</f>
        <v>1788</v>
      </c>
      <c r="P21" s="42">
        <v>0</v>
      </c>
      <c r="Q21" s="42">
        <v>0</v>
      </c>
      <c r="R21" s="206">
        <v>285</v>
      </c>
      <c r="S21" s="43">
        <f t="shared" si="4"/>
        <v>-198</v>
      </c>
      <c r="T21" s="42">
        <f t="shared" si="5"/>
        <v>-102</v>
      </c>
      <c r="U21" s="42">
        <f t="shared" si="6"/>
        <v>0</v>
      </c>
      <c r="V21" s="42">
        <f t="shared" si="7"/>
        <v>0</v>
      </c>
      <c r="W21" s="41">
        <f t="shared" si="8"/>
        <v>-96</v>
      </c>
    </row>
    <row r="22" spans="2:23" ht="15.75" thickBot="1" x14ac:dyDescent="0.25">
      <c r="B22" s="556" t="s">
        <v>411</v>
      </c>
      <c r="C22" s="556" t="s">
        <v>421</v>
      </c>
      <c r="D22" s="527">
        <f t="shared" si="0"/>
        <v>2271</v>
      </c>
      <c r="E22" s="555">
        <f>SUM(E21)</f>
        <v>1890</v>
      </c>
      <c r="F22" s="555">
        <f>SUM(F21)</f>
        <v>0</v>
      </c>
      <c r="G22" s="555">
        <f>SUM(G21)</f>
        <v>0</v>
      </c>
      <c r="H22" s="555">
        <f>SUM(H21)</f>
        <v>381</v>
      </c>
      <c r="I22" s="43">
        <f t="shared" si="2"/>
        <v>2252</v>
      </c>
      <c r="J22" s="555">
        <f>SUM(J21)</f>
        <v>1871</v>
      </c>
      <c r="K22" s="555">
        <f>SUM(K21)</f>
        <v>0</v>
      </c>
      <c r="L22" s="555">
        <f>SUM(L21)</f>
        <v>0</v>
      </c>
      <c r="M22" s="555">
        <f>SUM(M21)</f>
        <v>381</v>
      </c>
      <c r="N22" s="527">
        <f t="shared" si="3"/>
        <v>2073</v>
      </c>
      <c r="O22" s="555">
        <f>SUM(O21)</f>
        <v>1788</v>
      </c>
      <c r="P22" s="555">
        <f>SUM(P21)</f>
        <v>0</v>
      </c>
      <c r="Q22" s="555">
        <f>SUM(Q21)</f>
        <v>0</v>
      </c>
      <c r="R22" s="534">
        <f>SUM(R21)</f>
        <v>285</v>
      </c>
      <c r="S22" s="527">
        <f t="shared" si="4"/>
        <v>-198</v>
      </c>
      <c r="T22" s="42">
        <f t="shared" si="5"/>
        <v>-102</v>
      </c>
      <c r="U22" s="42">
        <f t="shared" si="6"/>
        <v>0</v>
      </c>
      <c r="V22" s="42">
        <f t="shared" si="7"/>
        <v>0</v>
      </c>
      <c r="W22" s="41">
        <f t="shared" si="8"/>
        <v>-96</v>
      </c>
    </row>
    <row r="23" spans="2:23" ht="15" hidden="1" thickBot="1" x14ac:dyDescent="0.25">
      <c r="B23" s="560" t="s">
        <v>411</v>
      </c>
      <c r="C23" s="44" t="s">
        <v>420</v>
      </c>
      <c r="D23" s="43">
        <f t="shared" si="0"/>
        <v>3555</v>
      </c>
      <c r="E23" s="42">
        <v>2631</v>
      </c>
      <c r="F23" s="42">
        <v>0</v>
      </c>
      <c r="G23" s="42">
        <v>0</v>
      </c>
      <c r="H23" s="42">
        <v>924</v>
      </c>
      <c r="I23" s="43">
        <f t="shared" si="2"/>
        <v>3529</v>
      </c>
      <c r="J23" s="42">
        <v>2605</v>
      </c>
      <c r="K23" s="42">
        <v>0</v>
      </c>
      <c r="L23" s="42">
        <v>0</v>
      </c>
      <c r="M23" s="42">
        <v>924</v>
      </c>
      <c r="N23" s="43">
        <f t="shared" si="3"/>
        <v>3305</v>
      </c>
      <c r="O23" s="42">
        <f>2450-14</f>
        <v>2436</v>
      </c>
      <c r="P23" s="42">
        <v>0</v>
      </c>
      <c r="Q23" s="42">
        <v>0</v>
      </c>
      <c r="R23" s="206">
        <v>869</v>
      </c>
      <c r="S23" s="43">
        <f t="shared" si="4"/>
        <v>-250</v>
      </c>
      <c r="T23" s="42">
        <f t="shared" si="5"/>
        <v>-195</v>
      </c>
      <c r="U23" s="42">
        <f t="shared" si="6"/>
        <v>0</v>
      </c>
      <c r="V23" s="42">
        <f t="shared" si="7"/>
        <v>0</v>
      </c>
      <c r="W23" s="41">
        <f t="shared" si="8"/>
        <v>-55</v>
      </c>
    </row>
    <row r="24" spans="2:23" ht="15" hidden="1" thickBot="1" x14ac:dyDescent="0.25">
      <c r="B24" s="560" t="s">
        <v>411</v>
      </c>
      <c r="C24" s="44" t="s">
        <v>420</v>
      </c>
      <c r="D24" s="43">
        <f t="shared" si="0"/>
        <v>0</v>
      </c>
      <c r="E24" s="42">
        <v>0</v>
      </c>
      <c r="F24" s="42">
        <v>0</v>
      </c>
      <c r="G24" s="42">
        <v>0</v>
      </c>
      <c r="H24" s="42">
        <v>0</v>
      </c>
      <c r="I24" s="43">
        <f t="shared" si="2"/>
        <v>0</v>
      </c>
      <c r="J24" s="42">
        <v>0</v>
      </c>
      <c r="K24" s="42">
        <v>0</v>
      </c>
      <c r="L24" s="42">
        <v>0</v>
      </c>
      <c r="M24" s="42">
        <v>0</v>
      </c>
      <c r="N24" s="43">
        <f t="shared" si="3"/>
        <v>0</v>
      </c>
      <c r="O24" s="42">
        <v>0</v>
      </c>
      <c r="P24" s="42">
        <v>0</v>
      </c>
      <c r="Q24" s="42">
        <v>0</v>
      </c>
      <c r="R24" s="206"/>
      <c r="S24" s="43">
        <f t="shared" si="4"/>
        <v>0</v>
      </c>
      <c r="T24" s="42">
        <f t="shared" si="5"/>
        <v>0</v>
      </c>
      <c r="U24" s="42">
        <f t="shared" si="6"/>
        <v>0</v>
      </c>
      <c r="V24" s="42">
        <f t="shared" si="7"/>
        <v>0</v>
      </c>
      <c r="W24" s="41">
        <f t="shared" si="8"/>
        <v>0</v>
      </c>
    </row>
    <row r="25" spans="2:23" ht="15.75" customHeight="1" thickBot="1" x14ac:dyDescent="0.25">
      <c r="B25" s="556" t="s">
        <v>411</v>
      </c>
      <c r="C25" s="556" t="s">
        <v>420</v>
      </c>
      <c r="D25" s="527">
        <f t="shared" si="0"/>
        <v>3555</v>
      </c>
      <c r="E25" s="555">
        <f>SUM(E23:E24)</f>
        <v>2631</v>
      </c>
      <c r="F25" s="555">
        <f>SUM(F23:F24)</f>
        <v>0</v>
      </c>
      <c r="G25" s="555">
        <f>SUM(G23:G24)</f>
        <v>0</v>
      </c>
      <c r="H25" s="555">
        <f>SUM(H23:H24)</f>
        <v>924</v>
      </c>
      <c r="I25" s="43">
        <f t="shared" si="2"/>
        <v>3529</v>
      </c>
      <c r="J25" s="555">
        <f>SUM(J23:J24)</f>
        <v>2605</v>
      </c>
      <c r="K25" s="555">
        <f>SUM(K23:K24)</f>
        <v>0</v>
      </c>
      <c r="L25" s="555">
        <f>SUM(L23:L24)</f>
        <v>0</v>
      </c>
      <c r="M25" s="555">
        <f>SUM(M23:M24)</f>
        <v>924</v>
      </c>
      <c r="N25" s="527">
        <f t="shared" si="3"/>
        <v>3305</v>
      </c>
      <c r="O25" s="555">
        <f>SUM(O23:O24)</f>
        <v>2436</v>
      </c>
      <c r="P25" s="555">
        <f>SUM(P23:P24)</f>
        <v>0</v>
      </c>
      <c r="Q25" s="555">
        <f>SUM(Q23:Q24)</f>
        <v>0</v>
      </c>
      <c r="R25" s="534">
        <f>SUM(R23:R24)</f>
        <v>869</v>
      </c>
      <c r="S25" s="527">
        <f t="shared" si="4"/>
        <v>-250</v>
      </c>
      <c r="T25" s="42">
        <f t="shared" si="5"/>
        <v>-195</v>
      </c>
      <c r="U25" s="42">
        <f t="shared" si="6"/>
        <v>0</v>
      </c>
      <c r="V25" s="42">
        <f t="shared" si="7"/>
        <v>0</v>
      </c>
      <c r="W25" s="41">
        <f t="shared" si="8"/>
        <v>-55</v>
      </c>
    </row>
    <row r="26" spans="2:23" ht="15.75" hidden="1" customHeight="1" thickBot="1" x14ac:dyDescent="0.25">
      <c r="B26" s="560" t="s">
        <v>411</v>
      </c>
      <c r="C26" s="44" t="s">
        <v>419</v>
      </c>
      <c r="D26" s="43">
        <f t="shared" si="0"/>
        <v>750</v>
      </c>
      <c r="E26" s="42">
        <v>750</v>
      </c>
      <c r="F26" s="42">
        <v>0</v>
      </c>
      <c r="G26" s="42">
        <v>0</v>
      </c>
      <c r="H26" s="42">
        <v>0</v>
      </c>
      <c r="I26" s="43">
        <f t="shared" si="2"/>
        <v>742</v>
      </c>
      <c r="J26" s="42">
        <v>742</v>
      </c>
      <c r="K26" s="42">
        <v>0</v>
      </c>
      <c r="L26" s="42">
        <v>0</v>
      </c>
      <c r="M26" s="42">
        <v>0</v>
      </c>
      <c r="N26" s="43">
        <f t="shared" si="3"/>
        <v>3431</v>
      </c>
      <c r="O26" s="42">
        <v>1200</v>
      </c>
      <c r="P26" s="42">
        <v>0</v>
      </c>
      <c r="Q26" s="42">
        <v>0</v>
      </c>
      <c r="R26" s="206">
        <v>2231</v>
      </c>
      <c r="S26" s="43">
        <f t="shared" si="4"/>
        <v>2681</v>
      </c>
      <c r="T26" s="42">
        <f t="shared" si="5"/>
        <v>450</v>
      </c>
      <c r="U26" s="42">
        <f t="shared" si="6"/>
        <v>0</v>
      </c>
      <c r="V26" s="42">
        <f t="shared" si="7"/>
        <v>0</v>
      </c>
      <c r="W26" s="41">
        <f t="shared" si="8"/>
        <v>2231</v>
      </c>
    </row>
    <row r="27" spans="2:23" ht="15.75" hidden="1" customHeight="1" thickBot="1" x14ac:dyDescent="0.25">
      <c r="B27" s="560" t="s">
        <v>411</v>
      </c>
      <c r="C27" s="44" t="s">
        <v>419</v>
      </c>
      <c r="D27" s="43">
        <f t="shared" si="0"/>
        <v>5030</v>
      </c>
      <c r="E27" s="42">
        <v>2000</v>
      </c>
      <c r="F27" s="42">
        <v>0</v>
      </c>
      <c r="G27" s="42">
        <v>0</v>
      </c>
      <c r="H27" s="42">
        <v>3030</v>
      </c>
      <c r="I27" s="43">
        <f t="shared" si="2"/>
        <v>5010</v>
      </c>
      <c r="J27" s="42">
        <v>1980</v>
      </c>
      <c r="K27" s="42">
        <v>0</v>
      </c>
      <c r="L27" s="42">
        <v>0</v>
      </c>
      <c r="M27" s="42">
        <v>3030</v>
      </c>
      <c r="N27" s="43">
        <f t="shared" si="3"/>
        <v>1470</v>
      </c>
      <c r="O27" s="42">
        <v>1470</v>
      </c>
      <c r="P27" s="42">
        <v>0</v>
      </c>
      <c r="Q27" s="42">
        <v>0</v>
      </c>
      <c r="R27" s="206"/>
      <c r="S27" s="43">
        <f t="shared" si="4"/>
        <v>-3560</v>
      </c>
      <c r="T27" s="42">
        <f t="shared" si="5"/>
        <v>-530</v>
      </c>
      <c r="U27" s="42">
        <f t="shared" si="6"/>
        <v>0</v>
      </c>
      <c r="V27" s="42">
        <f t="shared" si="7"/>
        <v>0</v>
      </c>
      <c r="W27" s="41">
        <f t="shared" si="8"/>
        <v>-3030</v>
      </c>
    </row>
    <row r="28" spans="2:23" ht="15.75" hidden="1" customHeight="1" thickBot="1" x14ac:dyDescent="0.25">
      <c r="B28" s="560" t="s">
        <v>411</v>
      </c>
      <c r="C28" s="44" t="s">
        <v>419</v>
      </c>
      <c r="D28" s="43">
        <f t="shared" si="0"/>
        <v>550</v>
      </c>
      <c r="E28" s="42">
        <v>550</v>
      </c>
      <c r="F28" s="42">
        <v>0</v>
      </c>
      <c r="G28" s="42">
        <v>0</v>
      </c>
      <c r="H28" s="42">
        <v>0</v>
      </c>
      <c r="I28" s="43">
        <f t="shared" si="2"/>
        <v>544</v>
      </c>
      <c r="J28" s="42">
        <v>544</v>
      </c>
      <c r="K28" s="42">
        <v>0</v>
      </c>
      <c r="L28" s="42">
        <v>0</v>
      </c>
      <c r="M28" s="42">
        <v>0</v>
      </c>
      <c r="N28" s="43">
        <f t="shared" si="3"/>
        <v>480</v>
      </c>
      <c r="O28" s="42">
        <v>480</v>
      </c>
      <c r="P28" s="42">
        <v>0</v>
      </c>
      <c r="Q28" s="42">
        <v>0</v>
      </c>
      <c r="R28" s="206"/>
      <c r="S28" s="43">
        <f t="shared" si="4"/>
        <v>-70</v>
      </c>
      <c r="T28" s="42">
        <f t="shared" si="5"/>
        <v>-70</v>
      </c>
      <c r="U28" s="42">
        <f t="shared" si="6"/>
        <v>0</v>
      </c>
      <c r="V28" s="42">
        <f t="shared" si="7"/>
        <v>0</v>
      </c>
      <c r="W28" s="41">
        <f t="shared" si="8"/>
        <v>0</v>
      </c>
    </row>
    <row r="29" spans="2:23" ht="15.75" hidden="1" customHeight="1" thickBot="1" x14ac:dyDescent="0.25">
      <c r="B29" s="560" t="s">
        <v>411</v>
      </c>
      <c r="C29" s="44" t="s">
        <v>419</v>
      </c>
      <c r="D29" s="43">
        <f t="shared" si="0"/>
        <v>400</v>
      </c>
      <c r="E29" s="42">
        <v>400</v>
      </c>
      <c r="F29" s="42">
        <v>0</v>
      </c>
      <c r="G29" s="42">
        <v>0</v>
      </c>
      <c r="H29" s="42">
        <v>0</v>
      </c>
      <c r="I29" s="43">
        <f t="shared" si="2"/>
        <v>396</v>
      </c>
      <c r="J29" s="42">
        <v>396</v>
      </c>
      <c r="K29" s="42">
        <v>0</v>
      </c>
      <c r="L29" s="42">
        <v>0</v>
      </c>
      <c r="M29" s="42">
        <v>0</v>
      </c>
      <c r="N29" s="43">
        <f t="shared" si="3"/>
        <v>329</v>
      </c>
      <c r="O29" s="42">
        <v>329</v>
      </c>
      <c r="P29" s="42">
        <v>0</v>
      </c>
      <c r="Q29" s="42">
        <v>0</v>
      </c>
      <c r="R29" s="206"/>
      <c r="S29" s="43">
        <f t="shared" si="4"/>
        <v>-71</v>
      </c>
      <c r="T29" s="42">
        <f t="shared" si="5"/>
        <v>-71</v>
      </c>
      <c r="U29" s="42">
        <f t="shared" si="6"/>
        <v>0</v>
      </c>
      <c r="V29" s="42">
        <f t="shared" si="7"/>
        <v>0</v>
      </c>
      <c r="W29" s="41">
        <f t="shared" si="8"/>
        <v>0</v>
      </c>
    </row>
    <row r="30" spans="2:23" ht="26.25" thickBot="1" x14ac:dyDescent="0.25">
      <c r="B30" s="556" t="s">
        <v>411</v>
      </c>
      <c r="C30" s="556" t="s">
        <v>419</v>
      </c>
      <c r="D30" s="527">
        <f t="shared" si="0"/>
        <v>6730</v>
      </c>
      <c r="E30" s="555">
        <f>SUM(E26:E29)</f>
        <v>3700</v>
      </c>
      <c r="F30" s="555">
        <f>SUM(F26:F29)</f>
        <v>0</v>
      </c>
      <c r="G30" s="555">
        <f>SUM(G26:G29)</f>
        <v>0</v>
      </c>
      <c r="H30" s="555">
        <f>SUM(H26:H29)</f>
        <v>3030</v>
      </c>
      <c r="I30" s="43">
        <f t="shared" si="2"/>
        <v>6692</v>
      </c>
      <c r="J30" s="555">
        <f>SUM(J26:J29)</f>
        <v>3662</v>
      </c>
      <c r="K30" s="555">
        <f>SUM(K26:K29)</f>
        <v>0</v>
      </c>
      <c r="L30" s="555">
        <f>SUM(L26:L29)</f>
        <v>0</v>
      </c>
      <c r="M30" s="555">
        <f>SUM(M26:M29)</f>
        <v>3030</v>
      </c>
      <c r="N30" s="527">
        <f t="shared" si="3"/>
        <v>5710</v>
      </c>
      <c r="O30" s="555">
        <f>SUM(O26:O29)</f>
        <v>3479</v>
      </c>
      <c r="P30" s="555">
        <f>SUM(P26:P29)</f>
        <v>0</v>
      </c>
      <c r="Q30" s="555">
        <f>SUM(Q26:Q29)</f>
        <v>0</v>
      </c>
      <c r="R30" s="534">
        <f>SUM(R26:R29)</f>
        <v>2231</v>
      </c>
      <c r="S30" s="527">
        <f t="shared" si="4"/>
        <v>-1020</v>
      </c>
      <c r="T30" s="42">
        <f t="shared" si="5"/>
        <v>-221</v>
      </c>
      <c r="U30" s="42">
        <f t="shared" si="6"/>
        <v>0</v>
      </c>
      <c r="V30" s="42">
        <f t="shared" si="7"/>
        <v>0</v>
      </c>
      <c r="W30" s="41">
        <f t="shared" si="8"/>
        <v>-799</v>
      </c>
    </row>
    <row r="31" spans="2:23" ht="15" hidden="1" thickBot="1" x14ac:dyDescent="0.25">
      <c r="B31" s="560" t="s">
        <v>411</v>
      </c>
      <c r="C31" s="44" t="s">
        <v>418</v>
      </c>
      <c r="D31" s="43">
        <f t="shared" si="0"/>
        <v>1968</v>
      </c>
      <c r="E31" s="42">
        <v>1598</v>
      </c>
      <c r="F31" s="42">
        <v>0</v>
      </c>
      <c r="G31" s="42">
        <v>0</v>
      </c>
      <c r="H31" s="42">
        <v>370</v>
      </c>
      <c r="I31" s="43">
        <f t="shared" si="2"/>
        <v>1952</v>
      </c>
      <c r="J31" s="42">
        <v>1582</v>
      </c>
      <c r="K31" s="42">
        <v>0</v>
      </c>
      <c r="L31" s="42">
        <v>0</v>
      </c>
      <c r="M31" s="42">
        <v>370</v>
      </c>
      <c r="N31" s="43">
        <f t="shared" si="3"/>
        <v>2000</v>
      </c>
      <c r="O31" s="42">
        <v>1518</v>
      </c>
      <c r="P31" s="42">
        <v>0</v>
      </c>
      <c r="Q31" s="42">
        <v>0</v>
      </c>
      <c r="R31" s="206">
        <v>482</v>
      </c>
      <c r="S31" s="43">
        <f t="shared" si="4"/>
        <v>32</v>
      </c>
      <c r="T31" s="42">
        <f t="shared" si="5"/>
        <v>-80</v>
      </c>
      <c r="U31" s="42">
        <f t="shared" si="6"/>
        <v>0</v>
      </c>
      <c r="V31" s="42">
        <f t="shared" si="7"/>
        <v>0</v>
      </c>
      <c r="W31" s="41">
        <f t="shared" si="8"/>
        <v>112</v>
      </c>
    </row>
    <row r="32" spans="2:23" ht="15" hidden="1" thickBot="1" x14ac:dyDescent="0.25">
      <c r="B32" s="560" t="s">
        <v>411</v>
      </c>
      <c r="C32" s="44" t="s">
        <v>418</v>
      </c>
      <c r="D32" s="43">
        <f t="shared" si="0"/>
        <v>893</v>
      </c>
      <c r="E32" s="42">
        <v>640</v>
      </c>
      <c r="F32" s="42">
        <v>0</v>
      </c>
      <c r="G32" s="42">
        <v>0</v>
      </c>
      <c r="H32" s="42">
        <v>253</v>
      </c>
      <c r="I32" s="43">
        <f t="shared" si="2"/>
        <v>887</v>
      </c>
      <c r="J32" s="42">
        <v>634</v>
      </c>
      <c r="K32" s="42">
        <v>0</v>
      </c>
      <c r="L32" s="42">
        <v>0</v>
      </c>
      <c r="M32" s="42">
        <v>253</v>
      </c>
      <c r="N32" s="43">
        <f t="shared" si="3"/>
        <v>608</v>
      </c>
      <c r="O32" s="42">
        <v>608</v>
      </c>
      <c r="P32" s="42">
        <v>0</v>
      </c>
      <c r="Q32" s="42">
        <v>0</v>
      </c>
      <c r="R32" s="206"/>
      <c r="S32" s="43">
        <f t="shared" si="4"/>
        <v>-285</v>
      </c>
      <c r="T32" s="42">
        <f t="shared" si="5"/>
        <v>-32</v>
      </c>
      <c r="U32" s="42">
        <f t="shared" si="6"/>
        <v>0</v>
      </c>
      <c r="V32" s="42">
        <f t="shared" si="7"/>
        <v>0</v>
      </c>
      <c r="W32" s="41">
        <f t="shared" si="8"/>
        <v>-253</v>
      </c>
    </row>
    <row r="33" spans="2:23" ht="26.25" thickBot="1" x14ac:dyDescent="0.25">
      <c r="B33" s="556" t="s">
        <v>411</v>
      </c>
      <c r="C33" s="556" t="s">
        <v>418</v>
      </c>
      <c r="D33" s="527">
        <f t="shared" si="0"/>
        <v>2861</v>
      </c>
      <c r="E33" s="555">
        <f>SUM(E31:E32)</f>
        <v>2238</v>
      </c>
      <c r="F33" s="555">
        <f>SUM(F31:F32)</f>
        <v>0</v>
      </c>
      <c r="G33" s="555">
        <f>SUM(G31:G32)</f>
        <v>0</v>
      </c>
      <c r="H33" s="555">
        <f>SUM(H31:H32)</f>
        <v>623</v>
      </c>
      <c r="I33" s="43">
        <f t="shared" si="2"/>
        <v>2839</v>
      </c>
      <c r="J33" s="555">
        <f>SUM(J31:J32)</f>
        <v>2216</v>
      </c>
      <c r="K33" s="555">
        <f>SUM(K31:K32)</f>
        <v>0</v>
      </c>
      <c r="L33" s="555">
        <f>SUM(L31:L32)</f>
        <v>0</v>
      </c>
      <c r="M33" s="555">
        <f>SUM(M31:M32)</f>
        <v>623</v>
      </c>
      <c r="N33" s="527">
        <f t="shared" si="3"/>
        <v>2608</v>
      </c>
      <c r="O33" s="555">
        <f>SUM(O31:O32)</f>
        <v>2126</v>
      </c>
      <c r="P33" s="555">
        <f>SUM(P31:P32)</f>
        <v>0</v>
      </c>
      <c r="Q33" s="555">
        <f>SUM(Q31:Q32)</f>
        <v>0</v>
      </c>
      <c r="R33" s="534">
        <f>SUM(R31:R32)</f>
        <v>482</v>
      </c>
      <c r="S33" s="527">
        <f t="shared" si="4"/>
        <v>-253</v>
      </c>
      <c r="T33" s="42">
        <f t="shared" si="5"/>
        <v>-112</v>
      </c>
      <c r="U33" s="42">
        <f t="shared" si="6"/>
        <v>0</v>
      </c>
      <c r="V33" s="42">
        <f t="shared" si="7"/>
        <v>0</v>
      </c>
      <c r="W33" s="41">
        <f t="shared" si="8"/>
        <v>-141</v>
      </c>
    </row>
    <row r="34" spans="2:23" ht="15" hidden="1" thickBot="1" x14ac:dyDescent="0.25">
      <c r="B34" s="560" t="s">
        <v>411</v>
      </c>
      <c r="C34" s="44" t="s">
        <v>417</v>
      </c>
      <c r="D34" s="43">
        <f t="shared" si="0"/>
        <v>3236</v>
      </c>
      <c r="E34" s="42">
        <v>2338</v>
      </c>
      <c r="F34" s="42">
        <v>0</v>
      </c>
      <c r="G34" s="42">
        <v>0</v>
      </c>
      <c r="H34" s="42">
        <v>898</v>
      </c>
      <c r="I34" s="43">
        <f t="shared" si="2"/>
        <v>3213</v>
      </c>
      <c r="J34" s="42">
        <v>2315</v>
      </c>
      <c r="K34" s="42">
        <v>0</v>
      </c>
      <c r="L34" s="42">
        <v>0</v>
      </c>
      <c r="M34" s="42">
        <v>898</v>
      </c>
      <c r="N34" s="43">
        <f t="shared" si="3"/>
        <v>2834</v>
      </c>
      <c r="O34" s="42">
        <f>2221-16</f>
        <v>2205</v>
      </c>
      <c r="P34" s="42">
        <v>0</v>
      </c>
      <c r="Q34" s="42">
        <v>0</v>
      </c>
      <c r="R34" s="206">
        <v>629</v>
      </c>
      <c r="S34" s="43">
        <f t="shared" si="4"/>
        <v>-402</v>
      </c>
      <c r="T34" s="42">
        <f t="shared" si="5"/>
        <v>-133</v>
      </c>
      <c r="U34" s="42">
        <f t="shared" si="6"/>
        <v>0</v>
      </c>
      <c r="V34" s="42">
        <f t="shared" si="7"/>
        <v>0</v>
      </c>
      <c r="W34" s="41">
        <f t="shared" si="8"/>
        <v>-269</v>
      </c>
    </row>
    <row r="35" spans="2:23" ht="15" hidden="1" thickBot="1" x14ac:dyDescent="0.25">
      <c r="B35" s="560" t="s">
        <v>411</v>
      </c>
      <c r="C35" s="44" t="s">
        <v>417</v>
      </c>
      <c r="D35" s="43">
        <f t="shared" si="0"/>
        <v>349</v>
      </c>
      <c r="E35" s="42">
        <v>299</v>
      </c>
      <c r="F35" s="42">
        <v>50</v>
      </c>
      <c r="G35" s="42">
        <v>0</v>
      </c>
      <c r="H35" s="42">
        <v>0</v>
      </c>
      <c r="I35" s="43">
        <f t="shared" si="2"/>
        <v>346</v>
      </c>
      <c r="J35" s="42">
        <v>296</v>
      </c>
      <c r="K35" s="42">
        <v>50</v>
      </c>
      <c r="L35" s="42">
        <v>0</v>
      </c>
      <c r="M35" s="42">
        <v>0</v>
      </c>
      <c r="N35" s="43">
        <f t="shared" si="3"/>
        <v>335</v>
      </c>
      <c r="O35" s="42">
        <v>285</v>
      </c>
      <c r="P35" s="42">
        <v>50</v>
      </c>
      <c r="Q35" s="42">
        <v>0</v>
      </c>
      <c r="R35" s="206"/>
      <c r="S35" s="43">
        <f t="shared" si="4"/>
        <v>-14</v>
      </c>
      <c r="T35" s="42">
        <f t="shared" si="5"/>
        <v>-14</v>
      </c>
      <c r="U35" s="42">
        <f t="shared" si="6"/>
        <v>0</v>
      </c>
      <c r="V35" s="42">
        <f t="shared" si="7"/>
        <v>0</v>
      </c>
      <c r="W35" s="41">
        <f t="shared" si="8"/>
        <v>0</v>
      </c>
    </row>
    <row r="36" spans="2:23" ht="15" hidden="1" thickBot="1" x14ac:dyDescent="0.25">
      <c r="B36" s="560" t="s">
        <v>411</v>
      </c>
      <c r="C36" s="44" t="s">
        <v>417</v>
      </c>
      <c r="D36" s="43">
        <f t="shared" si="0"/>
        <v>360</v>
      </c>
      <c r="E36" s="42">
        <v>360</v>
      </c>
      <c r="F36" s="42">
        <v>0</v>
      </c>
      <c r="G36" s="42">
        <v>0</v>
      </c>
      <c r="H36" s="42">
        <v>0</v>
      </c>
      <c r="I36" s="43">
        <f t="shared" si="2"/>
        <v>356</v>
      </c>
      <c r="J36" s="42">
        <v>356</v>
      </c>
      <c r="K36" s="42">
        <v>0</v>
      </c>
      <c r="L36" s="42">
        <v>0</v>
      </c>
      <c r="M36" s="42">
        <v>0</v>
      </c>
      <c r="N36" s="43">
        <f t="shared" si="3"/>
        <v>341</v>
      </c>
      <c r="O36" s="42">
        <v>341</v>
      </c>
      <c r="P36" s="42">
        <v>0</v>
      </c>
      <c r="Q36" s="42">
        <v>0</v>
      </c>
      <c r="R36" s="206"/>
      <c r="S36" s="43">
        <f t="shared" si="4"/>
        <v>-19</v>
      </c>
      <c r="T36" s="42">
        <f t="shared" si="5"/>
        <v>-19</v>
      </c>
      <c r="U36" s="42">
        <f t="shared" si="6"/>
        <v>0</v>
      </c>
      <c r="V36" s="42">
        <f t="shared" si="7"/>
        <v>0</v>
      </c>
      <c r="W36" s="41">
        <f t="shared" si="8"/>
        <v>0</v>
      </c>
    </row>
    <row r="37" spans="2:23" ht="26.25" thickBot="1" x14ac:dyDescent="0.25">
      <c r="B37" s="556" t="s">
        <v>411</v>
      </c>
      <c r="C37" s="556" t="s">
        <v>417</v>
      </c>
      <c r="D37" s="527">
        <f t="shared" si="0"/>
        <v>3945</v>
      </c>
      <c r="E37" s="555">
        <f>SUM(E34:E36)</f>
        <v>2997</v>
      </c>
      <c r="F37" s="555">
        <f>SUM(F34:F36)</f>
        <v>50</v>
      </c>
      <c r="G37" s="555">
        <f>SUM(G34:G36)</f>
        <v>0</v>
      </c>
      <c r="H37" s="555">
        <f>SUM(H34:H36)</f>
        <v>898</v>
      </c>
      <c r="I37" s="43">
        <f t="shared" si="2"/>
        <v>3915</v>
      </c>
      <c r="J37" s="555">
        <f>SUM(J34:J36)</f>
        <v>2967</v>
      </c>
      <c r="K37" s="555">
        <f>SUM(K34:K36)</f>
        <v>50</v>
      </c>
      <c r="L37" s="555">
        <f>SUM(L34:L36)</f>
        <v>0</v>
      </c>
      <c r="M37" s="555">
        <f>SUM(M34:M36)</f>
        <v>898</v>
      </c>
      <c r="N37" s="527">
        <f t="shared" si="3"/>
        <v>3510</v>
      </c>
      <c r="O37" s="555">
        <f>SUM(O34:O36)</f>
        <v>2831</v>
      </c>
      <c r="P37" s="555">
        <f>SUM(P34:P36)</f>
        <v>50</v>
      </c>
      <c r="Q37" s="555">
        <f>SUM(Q34:Q36)</f>
        <v>0</v>
      </c>
      <c r="R37" s="534">
        <f>SUM(R34:R36)</f>
        <v>629</v>
      </c>
      <c r="S37" s="527">
        <f t="shared" si="4"/>
        <v>-435</v>
      </c>
      <c r="T37" s="42">
        <f t="shared" si="5"/>
        <v>-166</v>
      </c>
      <c r="U37" s="42">
        <f t="shared" si="6"/>
        <v>0</v>
      </c>
      <c r="V37" s="42">
        <f t="shared" si="7"/>
        <v>0</v>
      </c>
      <c r="W37" s="41">
        <f t="shared" si="8"/>
        <v>-269</v>
      </c>
    </row>
    <row r="38" spans="2:23" ht="15" hidden="1" thickBot="1" x14ac:dyDescent="0.25">
      <c r="B38" s="560" t="s">
        <v>411</v>
      </c>
      <c r="C38" s="44" t="s">
        <v>416</v>
      </c>
      <c r="D38" s="43">
        <f t="shared" si="0"/>
        <v>3275</v>
      </c>
      <c r="E38" s="42">
        <v>1994</v>
      </c>
      <c r="F38" s="42">
        <v>0</v>
      </c>
      <c r="G38" s="42">
        <v>0</v>
      </c>
      <c r="H38" s="42">
        <v>1281</v>
      </c>
      <c r="I38" s="43">
        <f t="shared" si="2"/>
        <v>4413.83</v>
      </c>
      <c r="J38" s="42">
        <v>2665</v>
      </c>
      <c r="K38" s="42">
        <f>8424/100</f>
        <v>84.24</v>
      </c>
      <c r="L38" s="42">
        <v>0</v>
      </c>
      <c r="M38" s="42">
        <f>166459/100</f>
        <v>1664.59</v>
      </c>
      <c r="N38" s="43">
        <f t="shared" si="3"/>
        <v>8267</v>
      </c>
      <c r="O38" s="42">
        <f>5598-35</f>
        <v>5563</v>
      </c>
      <c r="P38" s="42">
        <v>480</v>
      </c>
      <c r="Q38" s="42">
        <v>0</v>
      </c>
      <c r="R38" s="206">
        <v>2224</v>
      </c>
      <c r="S38" s="43">
        <f t="shared" si="4"/>
        <v>4992</v>
      </c>
      <c r="T38" s="42">
        <f t="shared" si="5"/>
        <v>3569</v>
      </c>
      <c r="U38" s="42">
        <f t="shared" si="6"/>
        <v>480</v>
      </c>
      <c r="V38" s="42">
        <f t="shared" si="7"/>
        <v>0</v>
      </c>
      <c r="W38" s="41">
        <f t="shared" si="8"/>
        <v>943</v>
      </c>
    </row>
    <row r="39" spans="2:23" ht="15" hidden="1" thickBot="1" x14ac:dyDescent="0.25">
      <c r="B39" s="566"/>
      <c r="C39" s="44" t="s">
        <v>416</v>
      </c>
      <c r="D39" s="43">
        <f t="shared" si="0"/>
        <v>1094</v>
      </c>
      <c r="E39" s="561">
        <v>618</v>
      </c>
      <c r="F39" s="561">
        <v>230</v>
      </c>
      <c r="G39" s="561">
        <v>0</v>
      </c>
      <c r="H39" s="561">
        <v>246</v>
      </c>
      <c r="I39" s="43">
        <f t="shared" si="2"/>
        <v>1209</v>
      </c>
      <c r="J39" s="561">
        <v>714</v>
      </c>
      <c r="K39" s="561">
        <v>230</v>
      </c>
      <c r="L39" s="561">
        <v>0</v>
      </c>
      <c r="M39" s="561">
        <v>265</v>
      </c>
      <c r="N39" s="43">
        <f t="shared" si="3"/>
        <v>0</v>
      </c>
      <c r="O39" s="561">
        <v>0</v>
      </c>
      <c r="P39" s="561">
        <v>0</v>
      </c>
      <c r="Q39" s="561">
        <v>0</v>
      </c>
      <c r="R39" s="541">
        <v>0</v>
      </c>
      <c r="S39" s="43">
        <f t="shared" si="4"/>
        <v>-1094</v>
      </c>
      <c r="T39" s="42">
        <f t="shared" si="5"/>
        <v>-618</v>
      </c>
      <c r="U39" s="42">
        <f t="shared" si="6"/>
        <v>-230</v>
      </c>
      <c r="V39" s="42">
        <f t="shared" si="7"/>
        <v>0</v>
      </c>
      <c r="W39" s="41">
        <f t="shared" si="8"/>
        <v>-246</v>
      </c>
    </row>
    <row r="40" spans="2:23" ht="15" hidden="1" thickBot="1" x14ac:dyDescent="0.25">
      <c r="B40" s="566"/>
      <c r="C40" s="44" t="s">
        <v>416</v>
      </c>
      <c r="D40" s="43">
        <f t="shared" si="0"/>
        <v>756</v>
      </c>
      <c r="E40" s="561">
        <v>538</v>
      </c>
      <c r="F40" s="561">
        <v>0</v>
      </c>
      <c r="G40" s="561">
        <v>0</v>
      </c>
      <c r="H40" s="561">
        <v>218</v>
      </c>
      <c r="I40" s="43">
        <f t="shared" si="2"/>
        <v>820</v>
      </c>
      <c r="J40" s="561">
        <v>583</v>
      </c>
      <c r="K40" s="561">
        <v>0</v>
      </c>
      <c r="L40" s="561">
        <v>0</v>
      </c>
      <c r="M40" s="561">
        <v>237</v>
      </c>
      <c r="N40" s="43">
        <f t="shared" si="3"/>
        <v>0</v>
      </c>
      <c r="O40" s="561">
        <v>0</v>
      </c>
      <c r="P40" s="561">
        <v>0</v>
      </c>
      <c r="Q40" s="561">
        <v>0</v>
      </c>
      <c r="R40" s="541">
        <v>0</v>
      </c>
      <c r="S40" s="43">
        <f t="shared" si="4"/>
        <v>-756</v>
      </c>
      <c r="T40" s="42">
        <f t="shared" si="5"/>
        <v>-538</v>
      </c>
      <c r="U40" s="42">
        <f t="shared" si="6"/>
        <v>0</v>
      </c>
      <c r="V40" s="42">
        <f t="shared" si="7"/>
        <v>0</v>
      </c>
      <c r="W40" s="41">
        <f t="shared" si="8"/>
        <v>-218</v>
      </c>
    </row>
    <row r="41" spans="2:23" ht="15.75" thickBot="1" x14ac:dyDescent="0.25">
      <c r="B41" s="556" t="s">
        <v>411</v>
      </c>
      <c r="C41" s="634" t="s">
        <v>416</v>
      </c>
      <c r="D41" s="527">
        <f t="shared" si="0"/>
        <v>5125</v>
      </c>
      <c r="E41" s="555">
        <f>SUM(E38:E40)</f>
        <v>3150</v>
      </c>
      <c r="F41" s="555">
        <f>SUM(F38:F40)</f>
        <v>230</v>
      </c>
      <c r="G41" s="555">
        <f>SUM(G38:G40)</f>
        <v>0</v>
      </c>
      <c r="H41" s="555">
        <f>SUM(H38:H40)</f>
        <v>1745</v>
      </c>
      <c r="I41" s="43">
        <f t="shared" si="2"/>
        <v>6442.83</v>
      </c>
      <c r="J41" s="555">
        <f>SUM(J38:J40)</f>
        <v>3962</v>
      </c>
      <c r="K41" s="555">
        <f>SUM(K38:K40)</f>
        <v>314.24</v>
      </c>
      <c r="L41" s="555">
        <f>SUM(L38:L40)</f>
        <v>0</v>
      </c>
      <c r="M41" s="555">
        <f>SUM(M38:M40)</f>
        <v>2166.59</v>
      </c>
      <c r="N41" s="527">
        <f t="shared" si="3"/>
        <v>8267</v>
      </c>
      <c r="O41" s="555">
        <f>SUM(O38:O40)</f>
        <v>5563</v>
      </c>
      <c r="P41" s="555">
        <f>SUM(P38:P40)</f>
        <v>480</v>
      </c>
      <c r="Q41" s="555">
        <f>SUM(Q38:Q40)</f>
        <v>0</v>
      </c>
      <c r="R41" s="534">
        <f>SUM(R38:R40)</f>
        <v>2224</v>
      </c>
      <c r="S41" s="527">
        <f t="shared" si="4"/>
        <v>3142</v>
      </c>
      <c r="T41" s="42">
        <f t="shared" si="5"/>
        <v>2413</v>
      </c>
      <c r="U41" s="42">
        <f t="shared" si="6"/>
        <v>250</v>
      </c>
      <c r="V41" s="42">
        <f t="shared" si="7"/>
        <v>0</v>
      </c>
      <c r="W41" s="41">
        <f t="shared" si="8"/>
        <v>479</v>
      </c>
    </row>
    <row r="42" spans="2:23" ht="15" hidden="1" thickBot="1" x14ac:dyDescent="0.25">
      <c r="B42" s="564"/>
      <c r="C42" s="565" t="s">
        <v>415</v>
      </c>
      <c r="D42" s="43">
        <f t="shared" si="0"/>
        <v>3371</v>
      </c>
      <c r="E42" s="563">
        <v>2094</v>
      </c>
      <c r="F42" s="563">
        <v>250</v>
      </c>
      <c r="G42" s="563">
        <v>0</v>
      </c>
      <c r="H42" s="563">
        <v>1027</v>
      </c>
      <c r="I42" s="43">
        <f t="shared" si="2"/>
        <v>2103.7600000000002</v>
      </c>
      <c r="J42" s="563">
        <v>1382</v>
      </c>
      <c r="K42" s="563">
        <f>16576/100</f>
        <v>165.76</v>
      </c>
      <c r="L42" s="563">
        <v>0</v>
      </c>
      <c r="M42" s="563">
        <v>556</v>
      </c>
      <c r="N42" s="43">
        <f t="shared" si="3"/>
        <v>0</v>
      </c>
      <c r="O42" s="563">
        <v>0</v>
      </c>
      <c r="P42" s="563">
        <v>0</v>
      </c>
      <c r="Q42" s="563">
        <v>0</v>
      </c>
      <c r="R42" s="584">
        <v>0</v>
      </c>
      <c r="S42" s="43">
        <f t="shared" si="4"/>
        <v>-3371</v>
      </c>
      <c r="T42" s="42">
        <f t="shared" si="5"/>
        <v>-2094</v>
      </c>
      <c r="U42" s="42">
        <f t="shared" si="6"/>
        <v>-250</v>
      </c>
      <c r="V42" s="42">
        <f t="shared" si="7"/>
        <v>0</v>
      </c>
      <c r="W42" s="41">
        <f t="shared" si="8"/>
        <v>-1027</v>
      </c>
    </row>
    <row r="43" spans="2:23" ht="15" hidden="1" thickBot="1" x14ac:dyDescent="0.25">
      <c r="B43" s="564"/>
      <c r="C43" s="565" t="s">
        <v>415</v>
      </c>
      <c r="D43" s="43">
        <f t="shared" si="0"/>
        <v>333</v>
      </c>
      <c r="E43" s="563">
        <v>307</v>
      </c>
      <c r="F43" s="563">
        <v>0</v>
      </c>
      <c r="G43" s="563">
        <v>0</v>
      </c>
      <c r="H43" s="563">
        <v>26</v>
      </c>
      <c r="I43" s="43">
        <f t="shared" si="2"/>
        <v>260</v>
      </c>
      <c r="J43" s="563">
        <v>202</v>
      </c>
      <c r="K43" s="563">
        <v>0</v>
      </c>
      <c r="L43" s="563">
        <v>0</v>
      </c>
      <c r="M43" s="563">
        <v>58</v>
      </c>
      <c r="N43" s="43">
        <f t="shared" si="3"/>
        <v>0</v>
      </c>
      <c r="O43" s="563">
        <v>0</v>
      </c>
      <c r="P43" s="563">
        <v>0</v>
      </c>
      <c r="Q43" s="563">
        <v>0</v>
      </c>
      <c r="R43" s="584">
        <v>0</v>
      </c>
      <c r="S43" s="43">
        <f t="shared" si="4"/>
        <v>-333</v>
      </c>
      <c r="T43" s="42">
        <f t="shared" si="5"/>
        <v>-307</v>
      </c>
      <c r="U43" s="42">
        <f t="shared" si="6"/>
        <v>0</v>
      </c>
      <c r="V43" s="42">
        <f t="shared" si="7"/>
        <v>0</v>
      </c>
      <c r="W43" s="41">
        <f t="shared" si="8"/>
        <v>-26</v>
      </c>
    </row>
    <row r="44" spans="2:23" ht="15" hidden="1" thickBot="1" x14ac:dyDescent="0.25">
      <c r="B44" s="564"/>
      <c r="C44" s="565" t="s">
        <v>415</v>
      </c>
      <c r="D44" s="43">
        <f t="shared" si="0"/>
        <v>195</v>
      </c>
      <c r="E44" s="563">
        <v>153</v>
      </c>
      <c r="F44" s="563">
        <v>0</v>
      </c>
      <c r="G44" s="563">
        <v>0</v>
      </c>
      <c r="H44" s="563">
        <v>42</v>
      </c>
      <c r="I44" s="43">
        <f t="shared" si="2"/>
        <v>160</v>
      </c>
      <c r="J44" s="563">
        <v>101</v>
      </c>
      <c r="K44" s="563">
        <v>0</v>
      </c>
      <c r="L44" s="563">
        <v>0</v>
      </c>
      <c r="M44" s="563">
        <v>59</v>
      </c>
      <c r="N44" s="43">
        <f t="shared" si="3"/>
        <v>0</v>
      </c>
      <c r="O44" s="563">
        <v>0</v>
      </c>
      <c r="P44" s="563">
        <v>0</v>
      </c>
      <c r="Q44" s="563">
        <v>0</v>
      </c>
      <c r="R44" s="584">
        <v>0</v>
      </c>
      <c r="S44" s="43">
        <f t="shared" si="4"/>
        <v>-195</v>
      </c>
      <c r="T44" s="42">
        <f t="shared" si="5"/>
        <v>-153</v>
      </c>
      <c r="U44" s="42">
        <f t="shared" si="6"/>
        <v>0</v>
      </c>
      <c r="V44" s="42">
        <f t="shared" si="7"/>
        <v>0</v>
      </c>
      <c r="W44" s="41">
        <f t="shared" si="8"/>
        <v>-42</v>
      </c>
    </row>
    <row r="45" spans="2:23" ht="15.75" thickBot="1" x14ac:dyDescent="0.25">
      <c r="B45" s="564"/>
      <c r="C45" s="564" t="s">
        <v>415</v>
      </c>
      <c r="D45" s="527">
        <f t="shared" si="0"/>
        <v>3899</v>
      </c>
      <c r="E45" s="555">
        <f>E42+E43+E44</f>
        <v>2554</v>
      </c>
      <c r="F45" s="555">
        <f>F42+F43+F44</f>
        <v>250</v>
      </c>
      <c r="G45" s="555">
        <f>G42+G43+G44</f>
        <v>0</v>
      </c>
      <c r="H45" s="555">
        <f>H42+H43+H44</f>
        <v>1095</v>
      </c>
      <c r="I45" s="43">
        <f t="shared" si="2"/>
        <v>2523.7600000000002</v>
      </c>
      <c r="J45" s="555">
        <f>J42+J43+J44</f>
        <v>1685</v>
      </c>
      <c r="K45" s="555">
        <f>K42+K43+K44</f>
        <v>165.76</v>
      </c>
      <c r="L45" s="555">
        <f>L42+L43+L44</f>
        <v>0</v>
      </c>
      <c r="M45" s="555">
        <f>M42+M43+M44</f>
        <v>673</v>
      </c>
      <c r="N45" s="43">
        <f t="shared" si="3"/>
        <v>0</v>
      </c>
      <c r="O45" s="555">
        <f>O42+O43+O44</f>
        <v>0</v>
      </c>
      <c r="P45" s="555">
        <f>P42+P43+P44</f>
        <v>0</v>
      </c>
      <c r="Q45" s="555">
        <f>Q42+Q43+Q44</f>
        <v>0</v>
      </c>
      <c r="R45" s="534">
        <f>R42+R43+R44</f>
        <v>0</v>
      </c>
      <c r="S45" s="527">
        <f t="shared" si="4"/>
        <v>-3899</v>
      </c>
      <c r="T45" s="42">
        <f t="shared" si="5"/>
        <v>-2554</v>
      </c>
      <c r="U45" s="42">
        <f t="shared" si="6"/>
        <v>-250</v>
      </c>
      <c r="V45" s="42">
        <f t="shared" si="7"/>
        <v>0</v>
      </c>
      <c r="W45" s="41">
        <f t="shared" si="8"/>
        <v>-1095</v>
      </c>
    </row>
    <row r="46" spans="2:23" ht="15" hidden="1" thickBot="1" x14ac:dyDescent="0.25">
      <c r="B46" s="560" t="s">
        <v>411</v>
      </c>
      <c r="C46" s="44" t="s">
        <v>414</v>
      </c>
      <c r="D46" s="43">
        <f t="shared" si="0"/>
        <v>171</v>
      </c>
      <c r="E46" s="42">
        <v>143</v>
      </c>
      <c r="F46" s="42">
        <v>0</v>
      </c>
      <c r="G46" s="42">
        <v>0</v>
      </c>
      <c r="H46" s="42">
        <v>28</v>
      </c>
      <c r="I46" s="43">
        <f t="shared" si="2"/>
        <v>170</v>
      </c>
      <c r="J46" s="42">
        <v>142</v>
      </c>
      <c r="K46" s="42">
        <v>0</v>
      </c>
      <c r="L46" s="42">
        <v>0</v>
      </c>
      <c r="M46" s="42">
        <v>28</v>
      </c>
      <c r="N46" s="43">
        <f t="shared" si="3"/>
        <v>166</v>
      </c>
      <c r="O46" s="42">
        <f>142-1</f>
        <v>141</v>
      </c>
      <c r="P46" s="42">
        <v>0</v>
      </c>
      <c r="Q46" s="42">
        <v>0</v>
      </c>
      <c r="R46" s="206">
        <v>25</v>
      </c>
      <c r="S46" s="43">
        <f t="shared" si="4"/>
        <v>-5</v>
      </c>
      <c r="T46" s="42">
        <f t="shared" si="5"/>
        <v>-2</v>
      </c>
      <c r="U46" s="42">
        <f t="shared" si="6"/>
        <v>0</v>
      </c>
      <c r="V46" s="42">
        <f t="shared" si="7"/>
        <v>0</v>
      </c>
      <c r="W46" s="41">
        <f t="shared" si="8"/>
        <v>-3</v>
      </c>
    </row>
    <row r="47" spans="2:23" ht="15.75" thickBot="1" x14ac:dyDescent="0.25">
      <c r="B47" s="556" t="s">
        <v>411</v>
      </c>
      <c r="C47" s="556" t="s">
        <v>414</v>
      </c>
      <c r="D47" s="527">
        <f t="shared" si="0"/>
        <v>171</v>
      </c>
      <c r="E47" s="555">
        <f>SUM(E46)</f>
        <v>143</v>
      </c>
      <c r="F47" s="555">
        <f>SUM(F46)</f>
        <v>0</v>
      </c>
      <c r="G47" s="555">
        <f>SUM(G46)</f>
        <v>0</v>
      </c>
      <c r="H47" s="555">
        <f>SUM(H46)</f>
        <v>28</v>
      </c>
      <c r="I47" s="43">
        <f t="shared" si="2"/>
        <v>170</v>
      </c>
      <c r="J47" s="555">
        <f>SUM(J46)</f>
        <v>142</v>
      </c>
      <c r="K47" s="555">
        <f>SUM(K46)</f>
        <v>0</v>
      </c>
      <c r="L47" s="555">
        <f>SUM(L46)</f>
        <v>0</v>
      </c>
      <c r="M47" s="555">
        <f>SUM(M46)</f>
        <v>28</v>
      </c>
      <c r="N47" s="527">
        <f t="shared" si="3"/>
        <v>166</v>
      </c>
      <c r="O47" s="555">
        <f>SUM(O46)</f>
        <v>141</v>
      </c>
      <c r="P47" s="555">
        <f>SUM(P46)</f>
        <v>0</v>
      </c>
      <c r="Q47" s="555">
        <f>SUM(Q46)</f>
        <v>0</v>
      </c>
      <c r="R47" s="534">
        <f>SUM(R46)</f>
        <v>25</v>
      </c>
      <c r="S47" s="527">
        <f t="shared" si="4"/>
        <v>-5</v>
      </c>
      <c r="T47" s="42">
        <f t="shared" si="5"/>
        <v>-2</v>
      </c>
      <c r="U47" s="42">
        <f t="shared" si="6"/>
        <v>0</v>
      </c>
      <c r="V47" s="42">
        <f t="shared" si="7"/>
        <v>0</v>
      </c>
      <c r="W47" s="41">
        <f t="shared" si="8"/>
        <v>-3</v>
      </c>
    </row>
    <row r="48" spans="2:23" ht="26.25" hidden="1" thickBot="1" x14ac:dyDescent="0.25">
      <c r="B48" s="560" t="s">
        <v>411</v>
      </c>
      <c r="C48" s="44" t="s">
        <v>413</v>
      </c>
      <c r="D48" s="43">
        <f t="shared" si="0"/>
        <v>141</v>
      </c>
      <c r="E48" s="42">
        <v>94</v>
      </c>
      <c r="F48" s="42">
        <v>0</v>
      </c>
      <c r="G48" s="42">
        <v>0</v>
      </c>
      <c r="H48" s="42">
        <v>47</v>
      </c>
      <c r="I48" s="43">
        <f t="shared" si="2"/>
        <v>140</v>
      </c>
      <c r="J48" s="42">
        <v>93</v>
      </c>
      <c r="K48" s="42">
        <v>0</v>
      </c>
      <c r="L48" s="42">
        <v>0</v>
      </c>
      <c r="M48" s="42">
        <v>47</v>
      </c>
      <c r="N48" s="43">
        <f t="shared" si="3"/>
        <v>133</v>
      </c>
      <c r="O48" s="42">
        <v>90</v>
      </c>
      <c r="P48" s="42">
        <v>0</v>
      </c>
      <c r="Q48" s="42">
        <v>0</v>
      </c>
      <c r="R48" s="206">
        <v>43</v>
      </c>
      <c r="S48" s="43">
        <f t="shared" si="4"/>
        <v>-8</v>
      </c>
      <c r="T48" s="42">
        <f t="shared" si="5"/>
        <v>-4</v>
      </c>
      <c r="U48" s="42">
        <f t="shared" si="6"/>
        <v>0</v>
      </c>
      <c r="V48" s="42">
        <f t="shared" si="7"/>
        <v>0</v>
      </c>
      <c r="W48" s="41">
        <f t="shared" si="8"/>
        <v>-4</v>
      </c>
    </row>
    <row r="49" spans="2:23" ht="26.25" thickBot="1" x14ac:dyDescent="0.25">
      <c r="B49" s="556" t="s">
        <v>411</v>
      </c>
      <c r="C49" s="556" t="s">
        <v>413</v>
      </c>
      <c r="D49" s="527">
        <f t="shared" si="0"/>
        <v>141</v>
      </c>
      <c r="E49" s="555">
        <f>SUM(E48)</f>
        <v>94</v>
      </c>
      <c r="F49" s="555">
        <f>SUM(F48)</f>
        <v>0</v>
      </c>
      <c r="G49" s="555">
        <f>SUM(G48)</f>
        <v>0</v>
      </c>
      <c r="H49" s="555">
        <f>SUM(H48)</f>
        <v>47</v>
      </c>
      <c r="I49" s="43">
        <f t="shared" si="2"/>
        <v>140</v>
      </c>
      <c r="J49" s="555">
        <f>SUM(J48)</f>
        <v>93</v>
      </c>
      <c r="K49" s="555">
        <f>SUM(K48)</f>
        <v>0</v>
      </c>
      <c r="L49" s="555">
        <f>SUM(L48)</f>
        <v>0</v>
      </c>
      <c r="M49" s="555">
        <f>SUM(M48)</f>
        <v>47</v>
      </c>
      <c r="N49" s="527">
        <f t="shared" si="3"/>
        <v>133</v>
      </c>
      <c r="O49" s="555">
        <f>SUM(O48)</f>
        <v>90</v>
      </c>
      <c r="P49" s="555">
        <f>SUM(P48)</f>
        <v>0</v>
      </c>
      <c r="Q49" s="555">
        <f>SUM(Q48)</f>
        <v>0</v>
      </c>
      <c r="R49" s="534">
        <f>SUM(R48)</f>
        <v>43</v>
      </c>
      <c r="S49" s="527">
        <f t="shared" si="4"/>
        <v>-8</v>
      </c>
      <c r="T49" s="42">
        <f t="shared" si="5"/>
        <v>-4</v>
      </c>
      <c r="U49" s="42">
        <f t="shared" si="6"/>
        <v>0</v>
      </c>
      <c r="V49" s="42">
        <f t="shared" si="7"/>
        <v>0</v>
      </c>
      <c r="W49" s="41">
        <f t="shared" si="8"/>
        <v>-4</v>
      </c>
    </row>
    <row r="50" spans="2:23" ht="15" hidden="1" thickBot="1" x14ac:dyDescent="0.25">
      <c r="B50" s="560" t="s">
        <v>411</v>
      </c>
      <c r="C50" s="44" t="s">
        <v>412</v>
      </c>
      <c r="D50" s="43">
        <f t="shared" si="0"/>
        <v>1577</v>
      </c>
      <c r="E50" s="42">
        <v>1424</v>
      </c>
      <c r="F50" s="42">
        <v>0</v>
      </c>
      <c r="G50" s="42">
        <v>0</v>
      </c>
      <c r="H50" s="42">
        <v>153</v>
      </c>
      <c r="I50" s="43">
        <f t="shared" si="2"/>
        <v>1563</v>
      </c>
      <c r="J50" s="42">
        <v>1410</v>
      </c>
      <c r="K50" s="42">
        <v>0</v>
      </c>
      <c r="L50" s="42">
        <v>0</v>
      </c>
      <c r="M50" s="42">
        <v>153</v>
      </c>
      <c r="N50" s="43">
        <f t="shared" si="3"/>
        <v>1484</v>
      </c>
      <c r="O50" s="42">
        <v>1424</v>
      </c>
      <c r="P50" s="42">
        <v>0</v>
      </c>
      <c r="Q50" s="42">
        <v>0</v>
      </c>
      <c r="R50" s="206">
        <v>60</v>
      </c>
      <c r="S50" s="43">
        <f t="shared" si="4"/>
        <v>-93</v>
      </c>
      <c r="T50" s="42">
        <f t="shared" si="5"/>
        <v>0</v>
      </c>
      <c r="U50" s="42">
        <f t="shared" si="6"/>
        <v>0</v>
      </c>
      <c r="V50" s="42">
        <f t="shared" si="7"/>
        <v>0</v>
      </c>
      <c r="W50" s="41">
        <f t="shared" si="8"/>
        <v>-93</v>
      </c>
    </row>
    <row r="51" spans="2:23" ht="15.75" thickBot="1" x14ac:dyDescent="0.25">
      <c r="B51" s="556" t="s">
        <v>411</v>
      </c>
      <c r="C51" s="556" t="s">
        <v>412</v>
      </c>
      <c r="D51" s="527">
        <f t="shared" si="0"/>
        <v>1577</v>
      </c>
      <c r="E51" s="555">
        <f>SUM(E50)</f>
        <v>1424</v>
      </c>
      <c r="F51" s="555">
        <f>SUM(F50)</f>
        <v>0</v>
      </c>
      <c r="G51" s="555">
        <f>SUM(G50)</f>
        <v>0</v>
      </c>
      <c r="H51" s="555">
        <f>SUM(H50)</f>
        <v>153</v>
      </c>
      <c r="I51" s="43">
        <f t="shared" si="2"/>
        <v>1563</v>
      </c>
      <c r="J51" s="555">
        <f>SUM(J50)</f>
        <v>1410</v>
      </c>
      <c r="K51" s="555">
        <f>SUM(K50)</f>
        <v>0</v>
      </c>
      <c r="L51" s="555">
        <f>SUM(L50)</f>
        <v>0</v>
      </c>
      <c r="M51" s="555">
        <f>SUM(M50)</f>
        <v>153</v>
      </c>
      <c r="N51" s="527">
        <f t="shared" si="3"/>
        <v>1484</v>
      </c>
      <c r="O51" s="555">
        <f>SUM(O50)</f>
        <v>1424</v>
      </c>
      <c r="P51" s="555">
        <f>SUM(P50)</f>
        <v>0</v>
      </c>
      <c r="Q51" s="555">
        <f>SUM(Q50)</f>
        <v>0</v>
      </c>
      <c r="R51" s="534">
        <f>SUM(R50)</f>
        <v>60</v>
      </c>
      <c r="S51" s="527">
        <f t="shared" si="4"/>
        <v>-93</v>
      </c>
      <c r="T51" s="42">
        <f t="shared" si="5"/>
        <v>0</v>
      </c>
      <c r="U51" s="42">
        <f t="shared" si="6"/>
        <v>0</v>
      </c>
      <c r="V51" s="42">
        <f t="shared" si="7"/>
        <v>0</v>
      </c>
      <c r="W51" s="41">
        <f t="shared" si="8"/>
        <v>-93</v>
      </c>
    </row>
    <row r="52" spans="2:23" ht="15" hidden="1" thickBot="1" x14ac:dyDescent="0.25">
      <c r="B52" s="560" t="s">
        <v>411</v>
      </c>
      <c r="C52" s="44" t="s">
        <v>410</v>
      </c>
      <c r="D52" s="43">
        <f t="shared" si="0"/>
        <v>1760</v>
      </c>
      <c r="E52" s="42">
        <v>1760</v>
      </c>
      <c r="F52" s="42">
        <v>0</v>
      </c>
      <c r="G52" s="42">
        <v>0</v>
      </c>
      <c r="H52" s="42">
        <v>0</v>
      </c>
      <c r="I52" s="43">
        <f t="shared" si="2"/>
        <v>1742</v>
      </c>
      <c r="J52" s="42">
        <v>1742</v>
      </c>
      <c r="K52" s="42">
        <v>0</v>
      </c>
      <c r="L52" s="42">
        <v>0</v>
      </c>
      <c r="M52" s="42">
        <v>0</v>
      </c>
      <c r="N52" s="43">
        <f t="shared" si="3"/>
        <v>1655</v>
      </c>
      <c r="O52" s="42">
        <v>1655</v>
      </c>
      <c r="P52" s="42">
        <v>0</v>
      </c>
      <c r="Q52" s="42">
        <v>0</v>
      </c>
      <c r="R52" s="206">
        <v>0</v>
      </c>
      <c r="S52" s="43">
        <f t="shared" si="4"/>
        <v>-105</v>
      </c>
      <c r="T52" s="42">
        <f t="shared" si="5"/>
        <v>-105</v>
      </c>
      <c r="U52" s="42">
        <f t="shared" si="6"/>
        <v>0</v>
      </c>
      <c r="V52" s="42">
        <f t="shared" si="7"/>
        <v>0</v>
      </c>
      <c r="W52" s="41">
        <f t="shared" si="8"/>
        <v>0</v>
      </c>
    </row>
    <row r="53" spans="2:23" ht="15.75" thickBot="1" x14ac:dyDescent="0.25">
      <c r="B53" s="556" t="s">
        <v>411</v>
      </c>
      <c r="C53" s="556" t="s">
        <v>410</v>
      </c>
      <c r="D53" s="527">
        <f t="shared" si="0"/>
        <v>1760</v>
      </c>
      <c r="E53" s="555">
        <f>SUM(E52)</f>
        <v>1760</v>
      </c>
      <c r="F53" s="555">
        <f>SUM(F52)</f>
        <v>0</v>
      </c>
      <c r="G53" s="555">
        <f>SUM(G52)</f>
        <v>0</v>
      </c>
      <c r="H53" s="555">
        <f>SUM(H52)</f>
        <v>0</v>
      </c>
      <c r="I53" s="43">
        <f t="shared" si="2"/>
        <v>1742</v>
      </c>
      <c r="J53" s="555">
        <f>SUM(J52)</f>
        <v>1742</v>
      </c>
      <c r="K53" s="555">
        <f>SUM(K52)</f>
        <v>0</v>
      </c>
      <c r="L53" s="555">
        <f>SUM(L52)</f>
        <v>0</v>
      </c>
      <c r="M53" s="555">
        <f>SUM(M52)</f>
        <v>0</v>
      </c>
      <c r="N53" s="527">
        <f t="shared" si="3"/>
        <v>1655</v>
      </c>
      <c r="O53" s="555">
        <f>SUM(O52)</f>
        <v>1655</v>
      </c>
      <c r="P53" s="555">
        <f>SUM(P52)</f>
        <v>0</v>
      </c>
      <c r="Q53" s="555">
        <f>SUM(Q52)</f>
        <v>0</v>
      </c>
      <c r="R53" s="554">
        <f>SUM(R52)</f>
        <v>0</v>
      </c>
      <c r="S53" s="527">
        <f t="shared" si="4"/>
        <v>-105</v>
      </c>
      <c r="T53" s="42">
        <f t="shared" si="5"/>
        <v>-105</v>
      </c>
      <c r="U53" s="42">
        <f t="shared" si="6"/>
        <v>0</v>
      </c>
      <c r="V53" s="42">
        <f t="shared" si="7"/>
        <v>0</v>
      </c>
      <c r="W53" s="41">
        <f t="shared" si="8"/>
        <v>0</v>
      </c>
    </row>
    <row r="54" spans="2:23" ht="15.75" customHeight="1" thickBot="1" x14ac:dyDescent="0.25">
      <c r="B54" s="533"/>
      <c r="C54" s="643" t="s">
        <v>409</v>
      </c>
      <c r="D54" s="527">
        <f t="shared" ref="D54:R54" si="9">D53+D51+D49+D47+D45+D41+D37+D33+D30+D25+D22+D20+D17</f>
        <v>32965</v>
      </c>
      <c r="E54" s="527">
        <f t="shared" si="9"/>
        <v>23498</v>
      </c>
      <c r="F54" s="527">
        <f t="shared" si="9"/>
        <v>530</v>
      </c>
      <c r="G54" s="527">
        <f t="shared" si="9"/>
        <v>0</v>
      </c>
      <c r="H54" s="527">
        <f t="shared" si="9"/>
        <v>8937</v>
      </c>
      <c r="I54" s="527">
        <f t="shared" si="9"/>
        <v>32729.59</v>
      </c>
      <c r="J54" s="527">
        <f t="shared" si="9"/>
        <v>23263</v>
      </c>
      <c r="K54" s="527">
        <f t="shared" si="9"/>
        <v>530</v>
      </c>
      <c r="L54" s="527">
        <f t="shared" si="9"/>
        <v>0</v>
      </c>
      <c r="M54" s="527">
        <f t="shared" si="9"/>
        <v>8936.59</v>
      </c>
      <c r="N54" s="527">
        <f t="shared" si="9"/>
        <v>29830</v>
      </c>
      <c r="O54" s="527">
        <f t="shared" si="9"/>
        <v>22449</v>
      </c>
      <c r="P54" s="527">
        <f t="shared" si="9"/>
        <v>530</v>
      </c>
      <c r="Q54" s="527">
        <f t="shared" si="9"/>
        <v>0</v>
      </c>
      <c r="R54" s="526">
        <f t="shared" si="9"/>
        <v>6851</v>
      </c>
      <c r="S54" s="527">
        <f>T54+U54+V54+W54</f>
        <v>-3135</v>
      </c>
      <c r="T54" s="527">
        <f>SUM(T17+T20+T22+T25+T30+T33+T37+T41+T45+T47+T49+T51+T53)</f>
        <v>-1049</v>
      </c>
      <c r="U54" s="527">
        <f>SUM(U17+U20+U22+U25+U30+U33+U37+U41+U45+U47+U49+U51+U53)</f>
        <v>0</v>
      </c>
      <c r="V54" s="527">
        <f>SUM(V17+V20+V22+V25+V30+V33+V37+V41+V45+V47+V49+V51+V53)</f>
        <v>0</v>
      </c>
      <c r="W54" s="526">
        <f>SUM(W17+W20+W22+W25+W30+W33+W37+W41+W45+W47+W49+W51+W53)</f>
        <v>-2086</v>
      </c>
    </row>
    <row r="55" spans="2:23" hidden="1" x14ac:dyDescent="0.2">
      <c r="O55" s="40">
        <f>O53+O51+O49+O47+O45+O41+O37+O33+O30+O25+O22+O20+O17</f>
        <v>22449</v>
      </c>
    </row>
  </sheetData>
  <mergeCells count="8">
    <mergeCell ref="S11:W11"/>
    <mergeCell ref="P12:R12"/>
    <mergeCell ref="E15:H15"/>
    <mergeCell ref="J15:M15"/>
    <mergeCell ref="O15:R15"/>
    <mergeCell ref="D11:H11"/>
    <mergeCell ref="I11:M11"/>
    <mergeCell ref="N11:R11"/>
  </mergeCells>
  <pageMargins left="0.70866141732283472" right="0.70866141732283472" top="0.78740157480314965" bottom="0.78740157480314965" header="0.31496062992125984" footer="0.31496062992125984"/>
  <pageSetup paperSize="9" scale="65" firstPageNumber="64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B1:AA101"/>
  <sheetViews>
    <sheetView showGridLines="0" tabSelected="1" topLeftCell="F8" zoomScaleNormal="100" zoomScaleSheetLayoutView="70" workbookViewId="0">
      <selection activeCell="J29" sqref="J29"/>
    </sheetView>
  </sheetViews>
  <sheetFormatPr defaultRowHeight="12.75" x14ac:dyDescent="0.2"/>
  <cols>
    <col min="1" max="1" width="2.7109375" style="24" customWidth="1"/>
    <col min="2" max="2" width="14.7109375" style="24" hidden="1" customWidth="1"/>
    <col min="3" max="3" width="6.7109375" style="24" hidden="1" customWidth="1"/>
    <col min="4" max="4" width="10.7109375" style="24" hidden="1" customWidth="1"/>
    <col min="5" max="5" width="45.7109375" style="347" customWidth="1"/>
    <col min="6" max="6" width="12.7109375" style="40" customWidth="1"/>
    <col min="7" max="10" width="9.7109375" style="40" customWidth="1"/>
    <col min="11" max="11" width="12.7109375" style="40" customWidth="1"/>
    <col min="12" max="15" width="9.7109375" style="40" customWidth="1"/>
    <col min="16" max="16" width="12.7109375" style="40" customWidth="1"/>
    <col min="17" max="20" width="9.7109375" style="40" customWidth="1"/>
    <col min="21" max="21" width="12.7109375" style="40" hidden="1" customWidth="1"/>
    <col min="22" max="25" width="9.7109375" style="40" hidden="1" customWidth="1"/>
    <col min="26" max="27" width="8.85546875" style="40" customWidth="1"/>
    <col min="28" max="16384" width="9.140625" style="24"/>
  </cols>
  <sheetData>
    <row r="1" spans="2:25" hidden="1" x14ac:dyDescent="0.2"/>
    <row r="2" spans="2:25" ht="21.75" x14ac:dyDescent="0.3">
      <c r="B2" s="69" t="s">
        <v>153</v>
      </c>
      <c r="C2" s="68"/>
      <c r="D2" s="68"/>
      <c r="E2" s="69" t="s">
        <v>153</v>
      </c>
      <c r="F2" s="67"/>
      <c r="G2" s="67"/>
      <c r="H2" s="67"/>
      <c r="I2" s="67"/>
      <c r="J2" s="67"/>
      <c r="K2" s="65"/>
      <c r="L2" s="65"/>
      <c r="M2" s="65"/>
      <c r="N2" s="65"/>
      <c r="O2" s="65"/>
      <c r="P2" s="65"/>
      <c r="Q2" s="65"/>
      <c r="R2" s="65"/>
      <c r="S2" s="65"/>
      <c r="T2" s="65" t="s">
        <v>246</v>
      </c>
      <c r="U2" s="65"/>
      <c r="V2" s="65"/>
      <c r="W2" s="66" t="s">
        <v>506</v>
      </c>
      <c r="X2" s="65"/>
      <c r="Y2" s="65" t="s">
        <v>246</v>
      </c>
    </row>
    <row r="3" spans="2:25" hidden="1" x14ac:dyDescent="0.2">
      <c r="E3" s="24"/>
    </row>
    <row r="4" spans="2:25" x14ac:dyDescent="0.2">
      <c r="E4" s="24"/>
    </row>
    <row r="5" spans="2:25" ht="15.75" x14ac:dyDescent="0.25">
      <c r="B5" s="64" t="s">
        <v>2</v>
      </c>
      <c r="C5" s="64" t="s">
        <v>374</v>
      </c>
      <c r="D5" s="63"/>
      <c r="E5" s="64" t="s">
        <v>539</v>
      </c>
      <c r="F5" s="64"/>
      <c r="G5" s="63"/>
      <c r="H5" s="62"/>
      <c r="I5" s="61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2:25" ht="15.75" x14ac:dyDescent="0.25">
      <c r="B6" s="63"/>
      <c r="C6" s="64" t="s">
        <v>3</v>
      </c>
      <c r="D6" s="63"/>
      <c r="E6" s="63" t="s">
        <v>161</v>
      </c>
      <c r="F6" s="64"/>
      <c r="G6" s="63"/>
      <c r="H6" s="62"/>
      <c r="I6" s="61"/>
      <c r="J6" s="6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8" spans="2:25" ht="18" x14ac:dyDescent="0.25">
      <c r="C8" s="59"/>
      <c r="D8" s="59"/>
      <c r="E8" s="551" t="s">
        <v>505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2:25" hidden="1" x14ac:dyDescent="0.2"/>
    <row r="10" spans="2:25" ht="13.5" thickBot="1" x14ac:dyDescent="0.25">
      <c r="B10" s="57"/>
      <c r="C10" s="57"/>
      <c r="D10" s="57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 t="s">
        <v>4</v>
      </c>
      <c r="U10" s="56"/>
      <c r="V10" s="56"/>
      <c r="W10" s="56"/>
      <c r="X10" s="56"/>
      <c r="Y10" s="56" t="s">
        <v>4</v>
      </c>
    </row>
    <row r="11" spans="2:25" x14ac:dyDescent="0.2">
      <c r="B11" s="248"/>
      <c r="C11" s="250"/>
      <c r="D11" s="248"/>
      <c r="E11" s="248"/>
      <c r="F11" s="727" t="s">
        <v>217</v>
      </c>
      <c r="G11" s="728"/>
      <c r="H11" s="728"/>
      <c r="I11" s="728"/>
      <c r="J11" s="729"/>
      <c r="K11" s="727" t="s">
        <v>372</v>
      </c>
      <c r="L11" s="728"/>
      <c r="M11" s="728"/>
      <c r="N11" s="728"/>
      <c r="O11" s="729"/>
      <c r="P11" s="727" t="s">
        <v>538</v>
      </c>
      <c r="Q11" s="728"/>
      <c r="R11" s="728"/>
      <c r="S11" s="728"/>
      <c r="T11" s="729"/>
      <c r="U11" s="727" t="s">
        <v>5</v>
      </c>
      <c r="V11" s="728"/>
      <c r="W11" s="728"/>
      <c r="X11" s="728"/>
      <c r="Y11" s="729"/>
    </row>
    <row r="12" spans="2:25" ht="18" customHeight="1" x14ac:dyDescent="0.2">
      <c r="B12" s="730" t="s">
        <v>6</v>
      </c>
      <c r="C12" s="731"/>
      <c r="D12" s="525" t="s">
        <v>7</v>
      </c>
      <c r="E12" s="252" t="s">
        <v>8</v>
      </c>
      <c r="F12" s="256"/>
      <c r="G12" s="254" t="s">
        <v>9</v>
      </c>
      <c r="H12" s="256"/>
      <c r="I12" s="256"/>
      <c r="J12" s="256"/>
      <c r="K12" s="255"/>
      <c r="L12" s="254" t="s">
        <v>9</v>
      </c>
      <c r="M12" s="256"/>
      <c r="N12" s="256"/>
      <c r="O12" s="256"/>
      <c r="P12" s="255"/>
      <c r="Q12" s="254" t="s">
        <v>9</v>
      </c>
      <c r="R12" s="735"/>
      <c r="S12" s="735"/>
      <c r="T12" s="736"/>
      <c r="U12" s="255"/>
      <c r="V12" s="254" t="s">
        <v>9</v>
      </c>
      <c r="W12" s="256"/>
      <c r="X12" s="256"/>
      <c r="Y12" s="257"/>
    </row>
    <row r="13" spans="2:25" ht="48" customHeight="1" x14ac:dyDescent="0.2">
      <c r="B13" s="258"/>
      <c r="C13" s="447"/>
      <c r="D13" s="258"/>
      <c r="E13" s="258"/>
      <c r="F13" s="260" t="s">
        <v>10</v>
      </c>
      <c r="G13" s="261" t="s">
        <v>11</v>
      </c>
      <c r="H13" s="261" t="s">
        <v>12</v>
      </c>
      <c r="I13" s="261" t="s">
        <v>13</v>
      </c>
      <c r="J13" s="261" t="s">
        <v>14</v>
      </c>
      <c r="K13" s="260" t="s">
        <v>10</v>
      </c>
      <c r="L13" s="261" t="s">
        <v>11</v>
      </c>
      <c r="M13" s="261" t="s">
        <v>12</v>
      </c>
      <c r="N13" s="261" t="s">
        <v>13</v>
      </c>
      <c r="O13" s="261" t="s">
        <v>14</v>
      </c>
      <c r="P13" s="260" t="s">
        <v>10</v>
      </c>
      <c r="Q13" s="261" t="s">
        <v>11</v>
      </c>
      <c r="R13" s="261" t="s">
        <v>12</v>
      </c>
      <c r="S13" s="261" t="s">
        <v>13</v>
      </c>
      <c r="T13" s="262" t="s">
        <v>14</v>
      </c>
      <c r="U13" s="260" t="s">
        <v>10</v>
      </c>
      <c r="V13" s="261" t="s">
        <v>11</v>
      </c>
      <c r="W13" s="261" t="s">
        <v>12</v>
      </c>
      <c r="X13" s="261" t="s">
        <v>13</v>
      </c>
      <c r="Y13" s="262" t="s">
        <v>14</v>
      </c>
    </row>
    <row r="14" spans="2:25" ht="13.5" thickBot="1" x14ac:dyDescent="0.25">
      <c r="B14" s="263" t="s">
        <v>15</v>
      </c>
      <c r="C14" s="264" t="s">
        <v>16</v>
      </c>
      <c r="D14" s="221"/>
      <c r="E14" s="221"/>
      <c r="F14" s="222"/>
      <c r="G14" s="223" t="s">
        <v>17</v>
      </c>
      <c r="H14" s="223" t="s">
        <v>18</v>
      </c>
      <c r="I14" s="223" t="s">
        <v>19</v>
      </c>
      <c r="J14" s="223" t="s">
        <v>20</v>
      </c>
      <c r="K14" s="222"/>
      <c r="L14" s="223" t="s">
        <v>17</v>
      </c>
      <c r="M14" s="223" t="s">
        <v>18</v>
      </c>
      <c r="N14" s="223" t="s">
        <v>19</v>
      </c>
      <c r="O14" s="223" t="s">
        <v>20</v>
      </c>
      <c r="P14" s="222"/>
      <c r="Q14" s="223" t="s">
        <v>17</v>
      </c>
      <c r="R14" s="223" t="s">
        <v>18</v>
      </c>
      <c r="S14" s="223" t="s">
        <v>19</v>
      </c>
      <c r="T14" s="249" t="s">
        <v>20</v>
      </c>
      <c r="U14" s="222"/>
      <c r="V14" s="223" t="s">
        <v>17</v>
      </c>
      <c r="W14" s="223" t="s">
        <v>18</v>
      </c>
      <c r="X14" s="223" t="s">
        <v>19</v>
      </c>
      <c r="Y14" s="249" t="s">
        <v>20</v>
      </c>
    </row>
    <row r="15" spans="2:25" ht="13.5" thickBot="1" x14ac:dyDescent="0.25">
      <c r="B15" s="265"/>
      <c r="C15" s="266"/>
      <c r="D15" s="265"/>
      <c r="E15" s="265"/>
      <c r="F15" s="267" t="s">
        <v>21</v>
      </c>
      <c r="G15" s="732" t="s">
        <v>21</v>
      </c>
      <c r="H15" s="733"/>
      <c r="I15" s="733"/>
      <c r="J15" s="734"/>
      <c r="K15" s="267" t="s">
        <v>21</v>
      </c>
      <c r="L15" s="732" t="s">
        <v>21</v>
      </c>
      <c r="M15" s="733"/>
      <c r="N15" s="733"/>
      <c r="O15" s="734"/>
      <c r="P15" s="267" t="s">
        <v>21</v>
      </c>
      <c r="Q15" s="732" t="s">
        <v>21</v>
      </c>
      <c r="R15" s="733"/>
      <c r="S15" s="733"/>
      <c r="T15" s="734"/>
      <c r="U15" s="267" t="s">
        <v>21</v>
      </c>
      <c r="V15" s="732" t="s">
        <v>21</v>
      </c>
      <c r="W15" s="733"/>
      <c r="X15" s="733"/>
      <c r="Y15" s="734"/>
    </row>
    <row r="16" spans="2:25" ht="15" hidden="1" thickBot="1" x14ac:dyDescent="0.25">
      <c r="B16" s="47" t="s">
        <v>504</v>
      </c>
      <c r="C16" s="46" t="s">
        <v>349</v>
      </c>
      <c r="D16" s="560" t="s">
        <v>459</v>
      </c>
      <c r="E16" s="44" t="s">
        <v>503</v>
      </c>
      <c r="F16" s="43">
        <f t="shared" ref="F16:F47" si="0">SUM(G16:J16)</f>
        <v>430</v>
      </c>
      <c r="G16" s="42">
        <v>430</v>
      </c>
      <c r="H16" s="42">
        <v>0</v>
      </c>
      <c r="I16" s="42">
        <v>0</v>
      </c>
      <c r="J16" s="42">
        <v>0</v>
      </c>
      <c r="K16" s="43">
        <f>SUM(L16:O16)</f>
        <v>426</v>
      </c>
      <c r="L16" s="42">
        <v>426</v>
      </c>
      <c r="M16" s="42">
        <v>0</v>
      </c>
      <c r="N16" s="42">
        <v>0</v>
      </c>
      <c r="O16" s="42">
        <v>0</v>
      </c>
      <c r="P16" s="43">
        <f>SUM(Q16:T16)</f>
        <v>399</v>
      </c>
      <c r="Q16" s="42">
        <f>400-1</f>
        <v>399</v>
      </c>
      <c r="R16" s="42">
        <v>0</v>
      </c>
      <c r="S16" s="42">
        <v>0</v>
      </c>
      <c r="T16" s="206"/>
      <c r="U16" s="43">
        <f t="shared" ref="U16:U47" si="1">SUM(V16:Y16)</f>
        <v>-31</v>
      </c>
      <c r="V16" s="42">
        <f t="shared" ref="V16:V47" si="2">Q16-G16</f>
        <v>-31</v>
      </c>
      <c r="W16" s="42">
        <f t="shared" ref="W16:W47" si="3">R16-H16</f>
        <v>0</v>
      </c>
      <c r="X16" s="42">
        <f t="shared" ref="X16:X47" si="4">S16-I16</f>
        <v>0</v>
      </c>
      <c r="Y16" s="41">
        <f t="shared" ref="Y16:Y47" si="5">T16-J16</f>
        <v>0</v>
      </c>
    </row>
    <row r="17" spans="2:25" ht="15.75" thickBot="1" x14ac:dyDescent="0.25">
      <c r="B17" s="559" t="s">
        <v>504</v>
      </c>
      <c r="C17" s="558"/>
      <c r="D17" s="557" t="s">
        <v>459</v>
      </c>
      <c r="E17" s="556" t="s">
        <v>503</v>
      </c>
      <c r="F17" s="527">
        <f t="shared" si="0"/>
        <v>430</v>
      </c>
      <c r="G17" s="555">
        <f>SUM(G16)</f>
        <v>430</v>
      </c>
      <c r="H17" s="555">
        <f>SUM(H16)</f>
        <v>0</v>
      </c>
      <c r="I17" s="555">
        <f>SUM(I16)</f>
        <v>0</v>
      </c>
      <c r="J17" s="555">
        <f>SUM(J16)</f>
        <v>0</v>
      </c>
      <c r="K17" s="527">
        <f t="shared" ref="K17:K80" si="6">SUM(L17:O17)</f>
        <v>426</v>
      </c>
      <c r="L17" s="555">
        <f>SUM(L16)</f>
        <v>426</v>
      </c>
      <c r="M17" s="555">
        <f>SUM(M16)</f>
        <v>0</v>
      </c>
      <c r="N17" s="555">
        <f>SUM(N16)</f>
        <v>0</v>
      </c>
      <c r="O17" s="555">
        <f>SUM(O16)</f>
        <v>0</v>
      </c>
      <c r="P17" s="527">
        <f t="shared" ref="P17:P80" si="7">SUM(Q17:T17)</f>
        <v>399</v>
      </c>
      <c r="Q17" s="555">
        <f>SUM(Q16)</f>
        <v>399</v>
      </c>
      <c r="R17" s="555">
        <f>SUM(R16)</f>
        <v>0</v>
      </c>
      <c r="S17" s="555">
        <f>SUM(S16)</f>
        <v>0</v>
      </c>
      <c r="T17" s="534">
        <f>SUM(T16)</f>
        <v>0</v>
      </c>
      <c r="U17" s="527">
        <f t="shared" si="1"/>
        <v>-31</v>
      </c>
      <c r="V17" s="553">
        <f t="shared" si="2"/>
        <v>-31</v>
      </c>
      <c r="W17" s="553">
        <f t="shared" si="3"/>
        <v>0</v>
      </c>
      <c r="X17" s="553">
        <f t="shared" si="4"/>
        <v>0</v>
      </c>
      <c r="Y17" s="552">
        <f t="shared" si="5"/>
        <v>0</v>
      </c>
    </row>
    <row r="18" spans="2:25" ht="15" hidden="1" thickBot="1" x14ac:dyDescent="0.25">
      <c r="B18" s="47" t="s">
        <v>502</v>
      </c>
      <c r="C18" s="46" t="s">
        <v>362</v>
      </c>
      <c r="D18" s="560" t="s">
        <v>459</v>
      </c>
      <c r="E18" s="44" t="s">
        <v>501</v>
      </c>
      <c r="F18" s="43">
        <f t="shared" si="0"/>
        <v>10</v>
      </c>
      <c r="G18" s="42">
        <v>10</v>
      </c>
      <c r="H18" s="42">
        <v>0</v>
      </c>
      <c r="I18" s="42">
        <v>0</v>
      </c>
      <c r="J18" s="42">
        <v>0</v>
      </c>
      <c r="K18" s="43">
        <f t="shared" si="6"/>
        <v>10</v>
      </c>
      <c r="L18" s="42">
        <v>10</v>
      </c>
      <c r="M18" s="42">
        <v>0</v>
      </c>
      <c r="N18" s="42">
        <v>0</v>
      </c>
      <c r="O18" s="42">
        <v>0</v>
      </c>
      <c r="P18" s="43">
        <f t="shared" si="7"/>
        <v>6</v>
      </c>
      <c r="Q18" s="42">
        <v>6</v>
      </c>
      <c r="R18" s="42">
        <v>0</v>
      </c>
      <c r="S18" s="42">
        <v>0</v>
      </c>
      <c r="T18" s="206"/>
      <c r="U18" s="43">
        <f t="shared" si="1"/>
        <v>-4</v>
      </c>
      <c r="V18" s="42">
        <f t="shared" si="2"/>
        <v>-4</v>
      </c>
      <c r="W18" s="42">
        <f t="shared" si="3"/>
        <v>0</v>
      </c>
      <c r="X18" s="42">
        <f t="shared" si="4"/>
        <v>0</v>
      </c>
      <c r="Y18" s="41">
        <f t="shared" si="5"/>
        <v>0</v>
      </c>
    </row>
    <row r="19" spans="2:25" ht="15" hidden="1" thickBot="1" x14ac:dyDescent="0.25">
      <c r="B19" s="47" t="s">
        <v>502</v>
      </c>
      <c r="C19" s="46" t="s">
        <v>349</v>
      </c>
      <c r="D19" s="560" t="s">
        <v>459</v>
      </c>
      <c r="E19" s="44" t="s">
        <v>501</v>
      </c>
      <c r="F19" s="43">
        <f t="shared" si="0"/>
        <v>310</v>
      </c>
      <c r="G19" s="42">
        <v>310</v>
      </c>
      <c r="H19" s="42">
        <v>0</v>
      </c>
      <c r="I19" s="42">
        <v>0</v>
      </c>
      <c r="J19" s="42">
        <v>0</v>
      </c>
      <c r="K19" s="43">
        <f t="shared" si="6"/>
        <v>257</v>
      </c>
      <c r="L19" s="42">
        <v>257</v>
      </c>
      <c r="M19" s="42">
        <v>0</v>
      </c>
      <c r="N19" s="42">
        <v>0</v>
      </c>
      <c r="O19" s="42">
        <v>0</v>
      </c>
      <c r="P19" s="43">
        <f t="shared" si="7"/>
        <v>275</v>
      </c>
      <c r="Q19" s="42">
        <v>275</v>
      </c>
      <c r="R19" s="42">
        <v>0</v>
      </c>
      <c r="S19" s="42">
        <v>0</v>
      </c>
      <c r="T19" s="206"/>
      <c r="U19" s="43">
        <f t="shared" si="1"/>
        <v>-35</v>
      </c>
      <c r="V19" s="42">
        <f t="shared" si="2"/>
        <v>-35</v>
      </c>
      <c r="W19" s="42">
        <f t="shared" si="3"/>
        <v>0</v>
      </c>
      <c r="X19" s="42">
        <f t="shared" si="4"/>
        <v>0</v>
      </c>
      <c r="Y19" s="41">
        <f t="shared" si="5"/>
        <v>0</v>
      </c>
    </row>
    <row r="20" spans="2:25" ht="15.75" thickBot="1" x14ac:dyDescent="0.25">
      <c r="B20" s="559" t="s">
        <v>502</v>
      </c>
      <c r="C20" s="558"/>
      <c r="D20" s="557" t="s">
        <v>459</v>
      </c>
      <c r="E20" s="556" t="s">
        <v>501</v>
      </c>
      <c r="F20" s="527">
        <f t="shared" si="0"/>
        <v>320</v>
      </c>
      <c r="G20" s="555">
        <f>SUM(G18:G19)</f>
        <v>320</v>
      </c>
      <c r="H20" s="555">
        <f>SUM(H18:H19)</f>
        <v>0</v>
      </c>
      <c r="I20" s="555">
        <f>SUM(I18:I19)</f>
        <v>0</v>
      </c>
      <c r="J20" s="555">
        <f>SUM(J18:J19)</f>
        <v>0</v>
      </c>
      <c r="K20" s="527">
        <f t="shared" si="6"/>
        <v>267</v>
      </c>
      <c r="L20" s="555">
        <f>SUM(L18:L19)</f>
        <v>267</v>
      </c>
      <c r="M20" s="555">
        <f>SUM(M18:M19)</f>
        <v>0</v>
      </c>
      <c r="N20" s="555">
        <f>SUM(N18:N19)</f>
        <v>0</v>
      </c>
      <c r="O20" s="555">
        <f>SUM(O18:O19)</f>
        <v>0</v>
      </c>
      <c r="P20" s="527">
        <f t="shared" si="7"/>
        <v>281</v>
      </c>
      <c r="Q20" s="555">
        <f>SUM(Q18:Q19)</f>
        <v>281</v>
      </c>
      <c r="R20" s="555">
        <f>SUM(R18:R19)</f>
        <v>0</v>
      </c>
      <c r="S20" s="555">
        <f>SUM(S18:S19)</f>
        <v>0</v>
      </c>
      <c r="T20" s="534">
        <f>SUM(T18:T19)</f>
        <v>0</v>
      </c>
      <c r="U20" s="527">
        <f t="shared" si="1"/>
        <v>-39</v>
      </c>
      <c r="V20" s="553">
        <f t="shared" si="2"/>
        <v>-39</v>
      </c>
      <c r="W20" s="553">
        <f t="shared" si="3"/>
        <v>0</v>
      </c>
      <c r="X20" s="553">
        <f t="shared" si="4"/>
        <v>0</v>
      </c>
      <c r="Y20" s="552">
        <f t="shared" si="5"/>
        <v>0</v>
      </c>
    </row>
    <row r="21" spans="2:25" ht="15" hidden="1" thickBot="1" x14ac:dyDescent="0.25">
      <c r="B21" s="47" t="s">
        <v>500</v>
      </c>
      <c r="C21" s="46" t="s">
        <v>362</v>
      </c>
      <c r="D21" s="560" t="s">
        <v>459</v>
      </c>
      <c r="E21" s="44" t="s">
        <v>499</v>
      </c>
      <c r="F21" s="43">
        <f t="shared" si="0"/>
        <v>15</v>
      </c>
      <c r="G21" s="42">
        <v>15</v>
      </c>
      <c r="H21" s="42">
        <v>0</v>
      </c>
      <c r="I21" s="42">
        <v>0</v>
      </c>
      <c r="J21" s="42">
        <v>0</v>
      </c>
      <c r="K21" s="43">
        <f t="shared" si="6"/>
        <v>15</v>
      </c>
      <c r="L21" s="42">
        <v>15</v>
      </c>
      <c r="M21" s="42">
        <v>0</v>
      </c>
      <c r="N21" s="42">
        <v>0</v>
      </c>
      <c r="O21" s="42">
        <v>0</v>
      </c>
      <c r="P21" s="43">
        <f t="shared" si="7"/>
        <v>12</v>
      </c>
      <c r="Q21" s="42">
        <v>12</v>
      </c>
      <c r="R21" s="42">
        <v>0</v>
      </c>
      <c r="S21" s="42">
        <v>0</v>
      </c>
      <c r="T21" s="206"/>
      <c r="U21" s="43">
        <f t="shared" si="1"/>
        <v>-3</v>
      </c>
      <c r="V21" s="42">
        <f t="shared" si="2"/>
        <v>-3</v>
      </c>
      <c r="W21" s="42">
        <f t="shared" si="3"/>
        <v>0</v>
      </c>
      <c r="X21" s="42">
        <f t="shared" si="4"/>
        <v>0</v>
      </c>
      <c r="Y21" s="41">
        <f t="shared" si="5"/>
        <v>0</v>
      </c>
    </row>
    <row r="22" spans="2:25" ht="15" hidden="1" thickBot="1" x14ac:dyDescent="0.25">
      <c r="B22" s="47" t="s">
        <v>500</v>
      </c>
      <c r="C22" s="46" t="s">
        <v>349</v>
      </c>
      <c r="D22" s="560" t="s">
        <v>459</v>
      </c>
      <c r="E22" s="44" t="s">
        <v>499</v>
      </c>
      <c r="F22" s="43">
        <f t="shared" si="0"/>
        <v>1655</v>
      </c>
      <c r="G22" s="42">
        <v>1472</v>
      </c>
      <c r="H22" s="42">
        <v>0</v>
      </c>
      <c r="I22" s="42">
        <v>0</v>
      </c>
      <c r="J22" s="42">
        <v>183</v>
      </c>
      <c r="K22" s="43">
        <f t="shared" si="6"/>
        <v>1640</v>
      </c>
      <c r="L22" s="42">
        <v>1457</v>
      </c>
      <c r="M22" s="42">
        <v>0</v>
      </c>
      <c r="N22" s="42">
        <v>0</v>
      </c>
      <c r="O22" s="42">
        <v>183</v>
      </c>
      <c r="P22" s="43">
        <f t="shared" si="7"/>
        <v>1360</v>
      </c>
      <c r="Q22" s="42">
        <v>1218</v>
      </c>
      <c r="R22" s="42">
        <v>0</v>
      </c>
      <c r="S22" s="42">
        <v>0</v>
      </c>
      <c r="T22" s="206">
        <v>142</v>
      </c>
      <c r="U22" s="43">
        <f t="shared" si="1"/>
        <v>-295</v>
      </c>
      <c r="V22" s="42">
        <f t="shared" si="2"/>
        <v>-254</v>
      </c>
      <c r="W22" s="42">
        <f t="shared" si="3"/>
        <v>0</v>
      </c>
      <c r="X22" s="42">
        <f t="shared" si="4"/>
        <v>0</v>
      </c>
      <c r="Y22" s="41">
        <f t="shared" si="5"/>
        <v>-41</v>
      </c>
    </row>
    <row r="23" spans="2:25" ht="15" hidden="1" thickBot="1" x14ac:dyDescent="0.25">
      <c r="B23" s="47" t="s">
        <v>500</v>
      </c>
      <c r="C23" s="46" t="s">
        <v>348</v>
      </c>
      <c r="D23" s="560" t="s">
        <v>459</v>
      </c>
      <c r="E23" s="44" t="s">
        <v>499</v>
      </c>
      <c r="F23" s="43">
        <f t="shared" si="0"/>
        <v>10</v>
      </c>
      <c r="G23" s="42">
        <v>10</v>
      </c>
      <c r="H23" s="42">
        <v>0</v>
      </c>
      <c r="I23" s="42">
        <v>0</v>
      </c>
      <c r="J23" s="42">
        <v>0</v>
      </c>
      <c r="K23" s="43">
        <f t="shared" si="6"/>
        <v>10</v>
      </c>
      <c r="L23" s="42">
        <v>10</v>
      </c>
      <c r="M23" s="42">
        <v>0</v>
      </c>
      <c r="N23" s="42">
        <v>0</v>
      </c>
      <c r="O23" s="42">
        <v>0</v>
      </c>
      <c r="P23" s="43">
        <f t="shared" si="7"/>
        <v>10</v>
      </c>
      <c r="Q23" s="42">
        <v>10</v>
      </c>
      <c r="R23" s="42">
        <v>0</v>
      </c>
      <c r="S23" s="42">
        <v>0</v>
      </c>
      <c r="T23" s="206"/>
      <c r="U23" s="43">
        <f t="shared" si="1"/>
        <v>0</v>
      </c>
      <c r="V23" s="42">
        <f t="shared" si="2"/>
        <v>0</v>
      </c>
      <c r="W23" s="42">
        <f t="shared" si="3"/>
        <v>0</v>
      </c>
      <c r="X23" s="42">
        <f t="shared" si="4"/>
        <v>0</v>
      </c>
      <c r="Y23" s="41">
        <f t="shared" si="5"/>
        <v>0</v>
      </c>
    </row>
    <row r="24" spans="2:25" ht="15" hidden="1" thickBot="1" x14ac:dyDescent="0.25">
      <c r="B24" s="47" t="s">
        <v>500</v>
      </c>
      <c r="C24" s="46" t="s">
        <v>359</v>
      </c>
      <c r="D24" s="560" t="s">
        <v>459</v>
      </c>
      <c r="E24" s="44" t="s">
        <v>499</v>
      </c>
      <c r="F24" s="43">
        <f t="shared" si="0"/>
        <v>15</v>
      </c>
      <c r="G24" s="42">
        <v>15</v>
      </c>
      <c r="H24" s="42">
        <v>0</v>
      </c>
      <c r="I24" s="42">
        <v>0</v>
      </c>
      <c r="J24" s="42">
        <v>0</v>
      </c>
      <c r="K24" s="43">
        <f t="shared" si="6"/>
        <v>15</v>
      </c>
      <c r="L24" s="42">
        <v>15</v>
      </c>
      <c r="M24" s="42">
        <v>0</v>
      </c>
      <c r="N24" s="42">
        <v>0</v>
      </c>
      <c r="O24" s="42">
        <v>0</v>
      </c>
      <c r="P24" s="43">
        <f t="shared" si="7"/>
        <v>15</v>
      </c>
      <c r="Q24" s="42">
        <v>15</v>
      </c>
      <c r="R24" s="42">
        <v>0</v>
      </c>
      <c r="S24" s="42">
        <v>0</v>
      </c>
      <c r="T24" s="206"/>
      <c r="U24" s="43">
        <f t="shared" si="1"/>
        <v>0</v>
      </c>
      <c r="V24" s="42">
        <f t="shared" si="2"/>
        <v>0</v>
      </c>
      <c r="W24" s="42">
        <f t="shared" si="3"/>
        <v>0</v>
      </c>
      <c r="X24" s="42">
        <f t="shared" si="4"/>
        <v>0</v>
      </c>
      <c r="Y24" s="41">
        <f t="shared" si="5"/>
        <v>0</v>
      </c>
    </row>
    <row r="25" spans="2:25" ht="15" hidden="1" thickBot="1" x14ac:dyDescent="0.25">
      <c r="B25" s="47" t="s">
        <v>500</v>
      </c>
      <c r="C25" s="46" t="s">
        <v>274</v>
      </c>
      <c r="D25" s="560" t="s">
        <v>459</v>
      </c>
      <c r="E25" s="44" t="s">
        <v>499</v>
      </c>
      <c r="F25" s="43">
        <f t="shared" si="0"/>
        <v>78</v>
      </c>
      <c r="G25" s="42">
        <v>78</v>
      </c>
      <c r="H25" s="42">
        <v>0</v>
      </c>
      <c r="I25" s="42">
        <v>0</v>
      </c>
      <c r="J25" s="42">
        <v>0</v>
      </c>
      <c r="K25" s="43">
        <f t="shared" si="6"/>
        <v>77</v>
      </c>
      <c r="L25" s="42">
        <v>77</v>
      </c>
      <c r="M25" s="42">
        <v>0</v>
      </c>
      <c r="N25" s="42">
        <v>0</v>
      </c>
      <c r="O25" s="42">
        <v>0</v>
      </c>
      <c r="P25" s="43">
        <f t="shared" si="7"/>
        <v>77</v>
      </c>
      <c r="Q25" s="42">
        <v>77</v>
      </c>
      <c r="R25" s="42">
        <v>0</v>
      </c>
      <c r="S25" s="42">
        <v>0</v>
      </c>
      <c r="T25" s="206"/>
      <c r="U25" s="43">
        <f t="shared" si="1"/>
        <v>-1</v>
      </c>
      <c r="V25" s="42">
        <f t="shared" si="2"/>
        <v>-1</v>
      </c>
      <c r="W25" s="42">
        <f t="shared" si="3"/>
        <v>0</v>
      </c>
      <c r="X25" s="42">
        <f t="shared" si="4"/>
        <v>0</v>
      </c>
      <c r="Y25" s="41">
        <f t="shared" si="5"/>
        <v>0</v>
      </c>
    </row>
    <row r="26" spans="2:25" ht="15.75" thickBot="1" x14ac:dyDescent="0.25">
      <c r="B26" s="559" t="s">
        <v>500</v>
      </c>
      <c r="C26" s="558"/>
      <c r="D26" s="557" t="s">
        <v>459</v>
      </c>
      <c r="E26" s="556" t="s">
        <v>499</v>
      </c>
      <c r="F26" s="527">
        <f t="shared" si="0"/>
        <v>1773</v>
      </c>
      <c r="G26" s="555">
        <f>SUM(G21:G25)</f>
        <v>1590</v>
      </c>
      <c r="H26" s="555">
        <f>SUM(H21:H25)</f>
        <v>0</v>
      </c>
      <c r="I26" s="555">
        <f>SUM(I21:I25)</f>
        <v>0</v>
      </c>
      <c r="J26" s="555">
        <f>SUM(J21:J25)</f>
        <v>183</v>
      </c>
      <c r="K26" s="527">
        <f t="shared" si="6"/>
        <v>1757</v>
      </c>
      <c r="L26" s="555">
        <f>SUM(L21:L25)</f>
        <v>1574</v>
      </c>
      <c r="M26" s="555">
        <f>SUM(M21:M25)</f>
        <v>0</v>
      </c>
      <c r="N26" s="555">
        <f>SUM(N21:N25)</f>
        <v>0</v>
      </c>
      <c r="O26" s="555">
        <f>SUM(O21:O25)</f>
        <v>183</v>
      </c>
      <c r="P26" s="527">
        <f t="shared" si="7"/>
        <v>1474</v>
      </c>
      <c r="Q26" s="555">
        <f>SUM(Q21:Q25)</f>
        <v>1332</v>
      </c>
      <c r="R26" s="555">
        <f>SUM(R21:R25)</f>
        <v>0</v>
      </c>
      <c r="S26" s="555">
        <f>SUM(S21:S25)</f>
        <v>0</v>
      </c>
      <c r="T26" s="534">
        <f>SUM(T21:T25)</f>
        <v>142</v>
      </c>
      <c r="U26" s="527">
        <f t="shared" si="1"/>
        <v>-299</v>
      </c>
      <c r="V26" s="553">
        <f t="shared" si="2"/>
        <v>-258</v>
      </c>
      <c r="W26" s="553">
        <f t="shared" si="3"/>
        <v>0</v>
      </c>
      <c r="X26" s="553">
        <f t="shared" si="4"/>
        <v>0</v>
      </c>
      <c r="Y26" s="552">
        <f t="shared" si="5"/>
        <v>-41</v>
      </c>
    </row>
    <row r="27" spans="2:25" ht="15" hidden="1" thickBot="1" x14ac:dyDescent="0.25">
      <c r="B27" s="47" t="s">
        <v>498</v>
      </c>
      <c r="C27" s="46" t="s">
        <v>362</v>
      </c>
      <c r="D27" s="560" t="s">
        <v>459</v>
      </c>
      <c r="E27" s="44" t="s">
        <v>497</v>
      </c>
      <c r="F27" s="43">
        <f t="shared" si="0"/>
        <v>555</v>
      </c>
      <c r="G27" s="42">
        <v>555</v>
      </c>
      <c r="H27" s="42">
        <v>0</v>
      </c>
      <c r="I27" s="42">
        <v>0</v>
      </c>
      <c r="J27" s="42">
        <v>0</v>
      </c>
      <c r="K27" s="43">
        <f t="shared" si="6"/>
        <v>549</v>
      </c>
      <c r="L27" s="42">
        <v>549</v>
      </c>
      <c r="M27" s="42">
        <v>0</v>
      </c>
      <c r="N27" s="42">
        <v>0</v>
      </c>
      <c r="O27" s="42">
        <v>0</v>
      </c>
      <c r="P27" s="43">
        <f t="shared" si="7"/>
        <v>1025</v>
      </c>
      <c r="Q27" s="42">
        <v>1025</v>
      </c>
      <c r="R27" s="42">
        <v>0</v>
      </c>
      <c r="S27" s="42">
        <v>0</v>
      </c>
      <c r="T27" s="206"/>
      <c r="U27" s="43">
        <f t="shared" si="1"/>
        <v>470</v>
      </c>
      <c r="V27" s="42">
        <f t="shared" si="2"/>
        <v>470</v>
      </c>
      <c r="W27" s="42">
        <f t="shared" si="3"/>
        <v>0</v>
      </c>
      <c r="X27" s="42">
        <f t="shared" si="4"/>
        <v>0</v>
      </c>
      <c r="Y27" s="41">
        <f t="shared" si="5"/>
        <v>0</v>
      </c>
    </row>
    <row r="28" spans="2:25" ht="15" hidden="1" thickBot="1" x14ac:dyDescent="0.25">
      <c r="B28" s="47" t="s">
        <v>498</v>
      </c>
      <c r="C28" s="46" t="s">
        <v>349</v>
      </c>
      <c r="D28" s="560" t="s">
        <v>459</v>
      </c>
      <c r="E28" s="44" t="s">
        <v>497</v>
      </c>
      <c r="F28" s="43">
        <f t="shared" si="0"/>
        <v>817</v>
      </c>
      <c r="G28" s="42">
        <v>786</v>
      </c>
      <c r="H28" s="42">
        <v>0</v>
      </c>
      <c r="I28" s="42">
        <v>0</v>
      </c>
      <c r="J28" s="42">
        <v>31</v>
      </c>
      <c r="K28" s="43">
        <f t="shared" si="6"/>
        <v>809</v>
      </c>
      <c r="L28" s="42">
        <v>778</v>
      </c>
      <c r="M28" s="42">
        <v>0</v>
      </c>
      <c r="N28" s="42">
        <v>0</v>
      </c>
      <c r="O28" s="42">
        <v>31</v>
      </c>
      <c r="P28" s="43">
        <f t="shared" si="7"/>
        <v>591</v>
      </c>
      <c r="Q28" s="42">
        <v>540</v>
      </c>
      <c r="R28" s="42">
        <v>0</v>
      </c>
      <c r="S28" s="42">
        <v>0</v>
      </c>
      <c r="T28" s="206">
        <v>51</v>
      </c>
      <c r="U28" s="43">
        <f t="shared" si="1"/>
        <v>-226</v>
      </c>
      <c r="V28" s="42">
        <f t="shared" si="2"/>
        <v>-246</v>
      </c>
      <c r="W28" s="42">
        <f t="shared" si="3"/>
        <v>0</v>
      </c>
      <c r="X28" s="42">
        <f t="shared" si="4"/>
        <v>0</v>
      </c>
      <c r="Y28" s="41">
        <f t="shared" si="5"/>
        <v>20</v>
      </c>
    </row>
    <row r="29" spans="2:25" ht="15" hidden="1" thickBot="1" x14ac:dyDescent="0.25">
      <c r="B29" s="47" t="s">
        <v>498</v>
      </c>
      <c r="C29" s="46" t="s">
        <v>326</v>
      </c>
      <c r="D29" s="560" t="s">
        <v>459</v>
      </c>
      <c r="E29" s="44" t="s">
        <v>497</v>
      </c>
      <c r="F29" s="43">
        <f t="shared" si="0"/>
        <v>85</v>
      </c>
      <c r="G29" s="42">
        <v>85</v>
      </c>
      <c r="H29" s="42">
        <v>0</v>
      </c>
      <c r="I29" s="42">
        <v>0</v>
      </c>
      <c r="J29" s="42">
        <v>0</v>
      </c>
      <c r="K29" s="43">
        <f t="shared" si="6"/>
        <v>84</v>
      </c>
      <c r="L29" s="42">
        <v>84</v>
      </c>
      <c r="M29" s="42">
        <v>0</v>
      </c>
      <c r="N29" s="42">
        <v>0</v>
      </c>
      <c r="O29" s="42">
        <v>0</v>
      </c>
      <c r="P29" s="499">
        <f t="shared" si="7"/>
        <v>85</v>
      </c>
      <c r="Q29" s="205">
        <v>85</v>
      </c>
      <c r="R29" s="42">
        <v>0</v>
      </c>
      <c r="S29" s="42">
        <v>0</v>
      </c>
      <c r="T29" s="206"/>
      <c r="U29" s="43">
        <f t="shared" si="1"/>
        <v>0</v>
      </c>
      <c r="V29" s="42">
        <f t="shared" si="2"/>
        <v>0</v>
      </c>
      <c r="W29" s="42">
        <f t="shared" si="3"/>
        <v>0</v>
      </c>
      <c r="X29" s="42">
        <f t="shared" si="4"/>
        <v>0</v>
      </c>
      <c r="Y29" s="41">
        <f t="shared" si="5"/>
        <v>0</v>
      </c>
    </row>
    <row r="30" spans="2:25" ht="15" hidden="1" thickBot="1" x14ac:dyDescent="0.25">
      <c r="B30" s="47" t="s">
        <v>498</v>
      </c>
      <c r="C30" s="46" t="s">
        <v>277</v>
      </c>
      <c r="D30" s="560" t="s">
        <v>459</v>
      </c>
      <c r="E30" s="44" t="s">
        <v>497</v>
      </c>
      <c r="F30" s="43">
        <f t="shared" si="0"/>
        <v>195</v>
      </c>
      <c r="G30" s="42">
        <v>195</v>
      </c>
      <c r="H30" s="42">
        <v>0</v>
      </c>
      <c r="I30" s="42">
        <v>0</v>
      </c>
      <c r="J30" s="42">
        <v>0</v>
      </c>
      <c r="K30" s="43">
        <f t="shared" si="6"/>
        <v>193</v>
      </c>
      <c r="L30" s="42">
        <v>193</v>
      </c>
      <c r="M30" s="42">
        <v>0</v>
      </c>
      <c r="N30" s="42">
        <v>0</v>
      </c>
      <c r="O30" s="42">
        <v>0</v>
      </c>
      <c r="P30" s="499">
        <f t="shared" si="7"/>
        <v>60</v>
      </c>
      <c r="Q30" s="205">
        <v>60</v>
      </c>
      <c r="R30" s="42">
        <v>0</v>
      </c>
      <c r="S30" s="42">
        <v>0</v>
      </c>
      <c r="T30" s="206"/>
      <c r="U30" s="43">
        <f t="shared" si="1"/>
        <v>-135</v>
      </c>
      <c r="V30" s="42">
        <f t="shared" si="2"/>
        <v>-135</v>
      </c>
      <c r="W30" s="42">
        <f t="shared" si="3"/>
        <v>0</v>
      </c>
      <c r="X30" s="42">
        <f t="shared" si="4"/>
        <v>0</v>
      </c>
      <c r="Y30" s="41">
        <f t="shared" si="5"/>
        <v>0</v>
      </c>
    </row>
    <row r="31" spans="2:25" ht="15" hidden="1" thickBot="1" x14ac:dyDescent="0.25">
      <c r="B31" s="47" t="s">
        <v>498</v>
      </c>
      <c r="C31" s="46" t="s">
        <v>359</v>
      </c>
      <c r="D31" s="560" t="s">
        <v>459</v>
      </c>
      <c r="E31" s="44" t="s">
        <v>497</v>
      </c>
      <c r="F31" s="43">
        <f t="shared" si="0"/>
        <v>100</v>
      </c>
      <c r="G31" s="42">
        <v>100</v>
      </c>
      <c r="H31" s="42">
        <v>0</v>
      </c>
      <c r="I31" s="42">
        <v>0</v>
      </c>
      <c r="J31" s="42">
        <v>0</v>
      </c>
      <c r="K31" s="43">
        <f t="shared" si="6"/>
        <v>99</v>
      </c>
      <c r="L31" s="42">
        <v>99</v>
      </c>
      <c r="M31" s="42">
        <v>0</v>
      </c>
      <c r="N31" s="42">
        <v>0</v>
      </c>
      <c r="O31" s="42">
        <v>0</v>
      </c>
      <c r="P31" s="499">
        <f t="shared" si="7"/>
        <v>100</v>
      </c>
      <c r="Q31" s="205">
        <v>100</v>
      </c>
      <c r="R31" s="42">
        <v>0</v>
      </c>
      <c r="S31" s="42">
        <v>0</v>
      </c>
      <c r="T31" s="206"/>
      <c r="U31" s="43">
        <f t="shared" si="1"/>
        <v>0</v>
      </c>
      <c r="V31" s="42">
        <f t="shared" si="2"/>
        <v>0</v>
      </c>
      <c r="W31" s="42">
        <f t="shared" si="3"/>
        <v>0</v>
      </c>
      <c r="X31" s="42">
        <f t="shared" si="4"/>
        <v>0</v>
      </c>
      <c r="Y31" s="41">
        <f t="shared" si="5"/>
        <v>0</v>
      </c>
    </row>
    <row r="32" spans="2:25" ht="15" hidden="1" thickBot="1" x14ac:dyDescent="0.25">
      <c r="B32" s="47" t="s">
        <v>498</v>
      </c>
      <c r="C32" s="46" t="s">
        <v>356</v>
      </c>
      <c r="D32" s="560" t="s">
        <v>459</v>
      </c>
      <c r="E32" s="44" t="s">
        <v>497</v>
      </c>
      <c r="F32" s="43">
        <f t="shared" si="0"/>
        <v>195</v>
      </c>
      <c r="G32" s="42">
        <v>195</v>
      </c>
      <c r="H32" s="42">
        <v>0</v>
      </c>
      <c r="I32" s="42">
        <v>0</v>
      </c>
      <c r="J32" s="42">
        <v>0</v>
      </c>
      <c r="K32" s="43">
        <f t="shared" si="6"/>
        <v>193</v>
      </c>
      <c r="L32" s="42">
        <v>193</v>
      </c>
      <c r="M32" s="42">
        <v>0</v>
      </c>
      <c r="N32" s="42">
        <v>0</v>
      </c>
      <c r="O32" s="42">
        <v>0</v>
      </c>
      <c r="P32" s="499">
        <f t="shared" si="7"/>
        <v>60</v>
      </c>
      <c r="Q32" s="205">
        <v>60</v>
      </c>
      <c r="R32" s="42">
        <v>0</v>
      </c>
      <c r="S32" s="42">
        <v>0</v>
      </c>
      <c r="T32" s="206"/>
      <c r="U32" s="43">
        <f t="shared" si="1"/>
        <v>-135</v>
      </c>
      <c r="V32" s="42">
        <f t="shared" si="2"/>
        <v>-135</v>
      </c>
      <c r="W32" s="42">
        <f t="shared" si="3"/>
        <v>0</v>
      </c>
      <c r="X32" s="42">
        <f t="shared" si="4"/>
        <v>0</v>
      </c>
      <c r="Y32" s="41">
        <f t="shared" si="5"/>
        <v>0</v>
      </c>
    </row>
    <row r="33" spans="2:25" ht="15.75" thickBot="1" x14ac:dyDescent="0.25">
      <c r="B33" s="559" t="s">
        <v>498</v>
      </c>
      <c r="C33" s="558"/>
      <c r="D33" s="557" t="s">
        <v>459</v>
      </c>
      <c r="E33" s="556" t="s">
        <v>497</v>
      </c>
      <c r="F33" s="527">
        <f t="shared" si="0"/>
        <v>1947</v>
      </c>
      <c r="G33" s="555">
        <f>SUM(G27:G32)</f>
        <v>1916</v>
      </c>
      <c r="H33" s="555">
        <f>SUM(H27:H32)</f>
        <v>0</v>
      </c>
      <c r="I33" s="555">
        <f>SUM(I27:I32)</f>
        <v>0</v>
      </c>
      <c r="J33" s="555">
        <f>SUM(J27:J32)</f>
        <v>31</v>
      </c>
      <c r="K33" s="527">
        <f t="shared" si="6"/>
        <v>1927</v>
      </c>
      <c r="L33" s="555">
        <f>SUM(L27:L32)</f>
        <v>1896</v>
      </c>
      <c r="M33" s="555">
        <f>SUM(M27:M32)</f>
        <v>0</v>
      </c>
      <c r="N33" s="555">
        <f>SUM(N27:N32)</f>
        <v>0</v>
      </c>
      <c r="O33" s="555">
        <f>SUM(O27:O32)</f>
        <v>31</v>
      </c>
      <c r="P33" s="505">
        <f t="shared" si="7"/>
        <v>1921</v>
      </c>
      <c r="Q33" s="535">
        <f>SUM(Q27:Q32)</f>
        <v>1870</v>
      </c>
      <c r="R33" s="555">
        <f>SUM(R27:R32)</f>
        <v>0</v>
      </c>
      <c r="S33" s="555">
        <f>SUM(S27:S32)</f>
        <v>0</v>
      </c>
      <c r="T33" s="534">
        <f>SUM(T27:T32)</f>
        <v>51</v>
      </c>
      <c r="U33" s="527">
        <f t="shared" si="1"/>
        <v>-26</v>
      </c>
      <c r="V33" s="553">
        <f t="shared" si="2"/>
        <v>-46</v>
      </c>
      <c r="W33" s="553">
        <f t="shared" si="3"/>
        <v>0</v>
      </c>
      <c r="X33" s="553">
        <f t="shared" si="4"/>
        <v>0</v>
      </c>
      <c r="Y33" s="552">
        <f t="shared" si="5"/>
        <v>20</v>
      </c>
    </row>
    <row r="34" spans="2:25" ht="15" hidden="1" thickBot="1" x14ac:dyDescent="0.25">
      <c r="B34" s="47" t="s">
        <v>496</v>
      </c>
      <c r="C34" s="46" t="s">
        <v>362</v>
      </c>
      <c r="D34" s="560" t="s">
        <v>459</v>
      </c>
      <c r="E34" s="44" t="s">
        <v>495</v>
      </c>
      <c r="F34" s="43">
        <f t="shared" si="0"/>
        <v>340</v>
      </c>
      <c r="G34" s="42">
        <v>340</v>
      </c>
      <c r="H34" s="42">
        <v>0</v>
      </c>
      <c r="I34" s="42">
        <v>0</v>
      </c>
      <c r="J34" s="42">
        <v>0</v>
      </c>
      <c r="K34" s="43">
        <f t="shared" si="6"/>
        <v>338</v>
      </c>
      <c r="L34" s="42">
        <v>338</v>
      </c>
      <c r="M34" s="42">
        <v>0</v>
      </c>
      <c r="N34" s="42">
        <v>0</v>
      </c>
      <c r="O34" s="42">
        <v>0</v>
      </c>
      <c r="P34" s="499">
        <f t="shared" si="7"/>
        <v>674</v>
      </c>
      <c r="Q34" s="205">
        <v>674</v>
      </c>
      <c r="R34" s="42">
        <v>0</v>
      </c>
      <c r="S34" s="42">
        <v>0</v>
      </c>
      <c r="T34" s="206"/>
      <c r="U34" s="43">
        <f t="shared" si="1"/>
        <v>334</v>
      </c>
      <c r="V34" s="42">
        <f t="shared" si="2"/>
        <v>334</v>
      </c>
      <c r="W34" s="42">
        <f t="shared" si="3"/>
        <v>0</v>
      </c>
      <c r="X34" s="42">
        <f t="shared" si="4"/>
        <v>0</v>
      </c>
      <c r="Y34" s="41">
        <f t="shared" si="5"/>
        <v>0</v>
      </c>
    </row>
    <row r="35" spans="2:25" ht="15" hidden="1" thickBot="1" x14ac:dyDescent="0.25">
      <c r="B35" s="47" t="s">
        <v>496</v>
      </c>
      <c r="C35" s="46" t="s">
        <v>349</v>
      </c>
      <c r="D35" s="560" t="s">
        <v>459</v>
      </c>
      <c r="E35" s="44" t="s">
        <v>495</v>
      </c>
      <c r="F35" s="43">
        <f t="shared" si="0"/>
        <v>2891</v>
      </c>
      <c r="G35" s="42">
        <v>1500</v>
      </c>
      <c r="H35" s="42">
        <v>0</v>
      </c>
      <c r="I35" s="42">
        <v>0</v>
      </c>
      <c r="J35" s="42">
        <v>1391</v>
      </c>
      <c r="K35" s="43">
        <f t="shared" si="6"/>
        <v>2883</v>
      </c>
      <c r="L35" s="42">
        <v>1492</v>
      </c>
      <c r="M35" s="42">
        <v>0</v>
      </c>
      <c r="N35" s="42">
        <v>0</v>
      </c>
      <c r="O35" s="42">
        <v>1391</v>
      </c>
      <c r="P35" s="499">
        <f t="shared" si="7"/>
        <v>2945</v>
      </c>
      <c r="Q35" s="205">
        <v>2945</v>
      </c>
      <c r="R35" s="42">
        <v>0</v>
      </c>
      <c r="S35" s="42">
        <v>0</v>
      </c>
      <c r="T35" s="206"/>
      <c r="U35" s="43">
        <f t="shared" si="1"/>
        <v>54</v>
      </c>
      <c r="V35" s="42">
        <f t="shared" si="2"/>
        <v>1445</v>
      </c>
      <c r="W35" s="42">
        <f t="shared" si="3"/>
        <v>0</v>
      </c>
      <c r="X35" s="42">
        <f t="shared" si="4"/>
        <v>0</v>
      </c>
      <c r="Y35" s="41">
        <f t="shared" si="5"/>
        <v>-1391</v>
      </c>
    </row>
    <row r="36" spans="2:25" ht="15" hidden="1" thickBot="1" x14ac:dyDescent="0.25">
      <c r="B36" s="47" t="s">
        <v>496</v>
      </c>
      <c r="C36" s="46" t="s">
        <v>348</v>
      </c>
      <c r="D36" s="560" t="s">
        <v>459</v>
      </c>
      <c r="E36" s="44" t="s">
        <v>495</v>
      </c>
      <c r="F36" s="43">
        <f t="shared" si="0"/>
        <v>1000</v>
      </c>
      <c r="G36" s="42">
        <v>1000</v>
      </c>
      <c r="H36" s="42">
        <v>0</v>
      </c>
      <c r="I36" s="42">
        <v>0</v>
      </c>
      <c r="J36" s="42">
        <v>0</v>
      </c>
      <c r="K36" s="43">
        <f t="shared" si="6"/>
        <v>995</v>
      </c>
      <c r="L36" s="42">
        <v>995</v>
      </c>
      <c r="M36" s="42">
        <v>0</v>
      </c>
      <c r="N36" s="42">
        <v>0</v>
      </c>
      <c r="O36" s="42">
        <v>0</v>
      </c>
      <c r="P36" s="499">
        <f t="shared" si="7"/>
        <v>54</v>
      </c>
      <c r="Q36" s="205">
        <v>54</v>
      </c>
      <c r="R36" s="42">
        <v>0</v>
      </c>
      <c r="S36" s="42">
        <v>0</v>
      </c>
      <c r="T36" s="206"/>
      <c r="U36" s="43">
        <f t="shared" si="1"/>
        <v>-946</v>
      </c>
      <c r="V36" s="42">
        <f t="shared" si="2"/>
        <v>-946</v>
      </c>
      <c r="W36" s="42">
        <f t="shared" si="3"/>
        <v>0</v>
      </c>
      <c r="X36" s="42">
        <f t="shared" si="4"/>
        <v>0</v>
      </c>
      <c r="Y36" s="41">
        <f t="shared" si="5"/>
        <v>0</v>
      </c>
    </row>
    <row r="37" spans="2:25" ht="15" hidden="1" thickBot="1" x14ac:dyDescent="0.25">
      <c r="B37" s="47" t="s">
        <v>496</v>
      </c>
      <c r="C37" s="46" t="s">
        <v>359</v>
      </c>
      <c r="D37" s="560" t="s">
        <v>459</v>
      </c>
      <c r="E37" s="44" t="s">
        <v>495</v>
      </c>
      <c r="F37" s="43">
        <f t="shared" si="0"/>
        <v>70</v>
      </c>
      <c r="G37" s="42">
        <v>70</v>
      </c>
      <c r="H37" s="42">
        <v>0</v>
      </c>
      <c r="I37" s="42">
        <v>0</v>
      </c>
      <c r="J37" s="42">
        <v>0</v>
      </c>
      <c r="K37" s="43">
        <f t="shared" si="6"/>
        <v>70</v>
      </c>
      <c r="L37" s="42">
        <v>70</v>
      </c>
      <c r="M37" s="42">
        <v>0</v>
      </c>
      <c r="N37" s="42">
        <v>0</v>
      </c>
      <c r="O37" s="42">
        <v>0</v>
      </c>
      <c r="P37" s="499">
        <f t="shared" si="7"/>
        <v>0</v>
      </c>
      <c r="Q37" s="205">
        <v>0</v>
      </c>
      <c r="R37" s="42">
        <v>0</v>
      </c>
      <c r="S37" s="42">
        <v>0</v>
      </c>
      <c r="T37" s="206"/>
      <c r="U37" s="43">
        <f t="shared" si="1"/>
        <v>-70</v>
      </c>
      <c r="V37" s="42">
        <f t="shared" si="2"/>
        <v>-70</v>
      </c>
      <c r="W37" s="42">
        <f t="shared" si="3"/>
        <v>0</v>
      </c>
      <c r="X37" s="42">
        <f t="shared" si="4"/>
        <v>0</v>
      </c>
      <c r="Y37" s="41">
        <f t="shared" si="5"/>
        <v>0</v>
      </c>
    </row>
    <row r="38" spans="2:25" ht="15" hidden="1" thickBot="1" x14ac:dyDescent="0.25">
      <c r="B38" s="47" t="s">
        <v>496</v>
      </c>
      <c r="C38" s="46" t="s">
        <v>280</v>
      </c>
      <c r="D38" s="560" t="s">
        <v>459</v>
      </c>
      <c r="E38" s="44" t="s">
        <v>495</v>
      </c>
      <c r="F38" s="43">
        <f t="shared" si="0"/>
        <v>3052</v>
      </c>
      <c r="G38" s="42">
        <v>3052</v>
      </c>
      <c r="H38" s="42">
        <v>0</v>
      </c>
      <c r="I38" s="42">
        <v>0</v>
      </c>
      <c r="J38" s="42">
        <v>0</v>
      </c>
      <c r="K38" s="43">
        <f t="shared" si="6"/>
        <v>3037</v>
      </c>
      <c r="L38" s="42">
        <v>3037</v>
      </c>
      <c r="M38" s="42">
        <v>0</v>
      </c>
      <c r="N38" s="42">
        <v>0</v>
      </c>
      <c r="O38" s="42">
        <v>0</v>
      </c>
      <c r="P38" s="499">
        <f t="shared" si="7"/>
        <v>3029</v>
      </c>
      <c r="Q38" s="205">
        <f>1991-174</f>
        <v>1817</v>
      </c>
      <c r="R38" s="42">
        <v>0</v>
      </c>
      <c r="S38" s="42">
        <v>0</v>
      </c>
      <c r="T38" s="206">
        <v>1212</v>
      </c>
      <c r="U38" s="43">
        <f t="shared" si="1"/>
        <v>-23</v>
      </c>
      <c r="V38" s="42">
        <f t="shared" si="2"/>
        <v>-1235</v>
      </c>
      <c r="W38" s="42">
        <f t="shared" si="3"/>
        <v>0</v>
      </c>
      <c r="X38" s="42">
        <f t="shared" si="4"/>
        <v>0</v>
      </c>
      <c r="Y38" s="41">
        <f t="shared" si="5"/>
        <v>1212</v>
      </c>
    </row>
    <row r="39" spans="2:25" ht="15.75" thickBot="1" x14ac:dyDescent="0.25">
      <c r="B39" s="559" t="s">
        <v>496</v>
      </c>
      <c r="C39" s="558"/>
      <c r="D39" s="557" t="s">
        <v>459</v>
      </c>
      <c r="E39" s="556" t="s">
        <v>495</v>
      </c>
      <c r="F39" s="527">
        <f t="shared" si="0"/>
        <v>7353</v>
      </c>
      <c r="G39" s="555">
        <f>SUM(G34:G38)</f>
        <v>5962</v>
      </c>
      <c r="H39" s="555">
        <f>SUM(H34:H38)</f>
        <v>0</v>
      </c>
      <c r="I39" s="555">
        <f>SUM(I34:I38)</f>
        <v>0</v>
      </c>
      <c r="J39" s="555">
        <f>SUM(J34:J38)</f>
        <v>1391</v>
      </c>
      <c r="K39" s="527">
        <f t="shared" si="6"/>
        <v>7323</v>
      </c>
      <c r="L39" s="555">
        <f>SUM(L34:L38)</f>
        <v>5932</v>
      </c>
      <c r="M39" s="555">
        <f>SUM(M34:M38)</f>
        <v>0</v>
      </c>
      <c r="N39" s="555">
        <f>SUM(N34:N38)</f>
        <v>0</v>
      </c>
      <c r="O39" s="555">
        <f>SUM(O34:O38)</f>
        <v>1391</v>
      </c>
      <c r="P39" s="505">
        <f t="shared" si="7"/>
        <v>6702</v>
      </c>
      <c r="Q39" s="535">
        <f>SUM(Q34:Q38)</f>
        <v>5490</v>
      </c>
      <c r="R39" s="555">
        <f>SUM(R34:R38)</f>
        <v>0</v>
      </c>
      <c r="S39" s="555">
        <f>SUM(S34:S38)</f>
        <v>0</v>
      </c>
      <c r="T39" s="534">
        <f>SUM(T34:T38)</f>
        <v>1212</v>
      </c>
      <c r="U39" s="527">
        <f t="shared" si="1"/>
        <v>-651</v>
      </c>
      <c r="V39" s="553">
        <f t="shared" si="2"/>
        <v>-472</v>
      </c>
      <c r="W39" s="553">
        <f t="shared" si="3"/>
        <v>0</v>
      </c>
      <c r="X39" s="553">
        <f t="shared" si="4"/>
        <v>0</v>
      </c>
      <c r="Y39" s="552">
        <f t="shared" si="5"/>
        <v>-179</v>
      </c>
    </row>
    <row r="40" spans="2:25" ht="15" hidden="1" thickBot="1" x14ac:dyDescent="0.25">
      <c r="B40" s="47" t="s">
        <v>494</v>
      </c>
      <c r="C40" s="46" t="s">
        <v>335</v>
      </c>
      <c r="D40" s="560" t="s">
        <v>459</v>
      </c>
      <c r="E40" s="44" t="s">
        <v>493</v>
      </c>
      <c r="F40" s="43">
        <f t="shared" si="0"/>
        <v>4462</v>
      </c>
      <c r="G40" s="42">
        <v>3101</v>
      </c>
      <c r="H40" s="42">
        <v>0</v>
      </c>
      <c r="I40" s="42">
        <v>0</v>
      </c>
      <c r="J40" s="42">
        <v>1361</v>
      </c>
      <c r="K40" s="43">
        <f t="shared" si="6"/>
        <v>4431</v>
      </c>
      <c r="L40" s="42">
        <v>3070</v>
      </c>
      <c r="M40" s="42">
        <v>0</v>
      </c>
      <c r="N40" s="42">
        <v>0</v>
      </c>
      <c r="O40" s="42">
        <v>1361</v>
      </c>
      <c r="P40" s="499">
        <f t="shared" si="7"/>
        <v>4236</v>
      </c>
      <c r="Q40" s="205">
        <f>2915-24</f>
        <v>2891</v>
      </c>
      <c r="R40" s="42">
        <v>0</v>
      </c>
      <c r="S40" s="42">
        <v>0</v>
      </c>
      <c r="T40" s="206">
        <v>1345</v>
      </c>
      <c r="U40" s="43">
        <f t="shared" si="1"/>
        <v>-226</v>
      </c>
      <c r="V40" s="42">
        <f t="shared" si="2"/>
        <v>-210</v>
      </c>
      <c r="W40" s="42">
        <f t="shared" si="3"/>
        <v>0</v>
      </c>
      <c r="X40" s="42">
        <f t="shared" si="4"/>
        <v>0</v>
      </c>
      <c r="Y40" s="41">
        <f t="shared" si="5"/>
        <v>-16</v>
      </c>
    </row>
    <row r="41" spans="2:25" ht="15" hidden="1" thickBot="1" x14ac:dyDescent="0.25">
      <c r="B41" s="47" t="s">
        <v>494</v>
      </c>
      <c r="C41" s="46" t="s">
        <v>277</v>
      </c>
      <c r="D41" s="560" t="s">
        <v>459</v>
      </c>
      <c r="E41" s="44" t="s">
        <v>493</v>
      </c>
      <c r="F41" s="43">
        <f t="shared" si="0"/>
        <v>547</v>
      </c>
      <c r="G41" s="42">
        <v>435</v>
      </c>
      <c r="H41" s="42">
        <v>0</v>
      </c>
      <c r="I41" s="42">
        <v>0</v>
      </c>
      <c r="J41" s="42">
        <v>112</v>
      </c>
      <c r="K41" s="43">
        <f t="shared" si="6"/>
        <v>543</v>
      </c>
      <c r="L41" s="42">
        <v>431</v>
      </c>
      <c r="M41" s="42">
        <v>0</v>
      </c>
      <c r="N41" s="42">
        <v>0</v>
      </c>
      <c r="O41" s="42">
        <v>112</v>
      </c>
      <c r="P41" s="499">
        <f t="shared" si="7"/>
        <v>409</v>
      </c>
      <c r="Q41" s="205">
        <v>409</v>
      </c>
      <c r="R41" s="42">
        <v>0</v>
      </c>
      <c r="S41" s="42">
        <v>0</v>
      </c>
      <c r="T41" s="206"/>
      <c r="U41" s="43">
        <f t="shared" si="1"/>
        <v>-138</v>
      </c>
      <c r="V41" s="42">
        <f t="shared" si="2"/>
        <v>-26</v>
      </c>
      <c r="W41" s="42">
        <f t="shared" si="3"/>
        <v>0</v>
      </c>
      <c r="X41" s="42">
        <f t="shared" si="4"/>
        <v>0</v>
      </c>
      <c r="Y41" s="41">
        <f t="shared" si="5"/>
        <v>-112</v>
      </c>
    </row>
    <row r="42" spans="2:25" ht="15.75" thickBot="1" x14ac:dyDescent="0.25">
      <c r="B42" s="559" t="s">
        <v>494</v>
      </c>
      <c r="C42" s="558"/>
      <c r="D42" s="557" t="s">
        <v>459</v>
      </c>
      <c r="E42" s="556" t="s">
        <v>493</v>
      </c>
      <c r="F42" s="527">
        <f t="shared" si="0"/>
        <v>5009</v>
      </c>
      <c r="G42" s="555">
        <f>SUM(G40:G41)</f>
        <v>3536</v>
      </c>
      <c r="H42" s="555">
        <f>SUM(H40:H41)</f>
        <v>0</v>
      </c>
      <c r="I42" s="555">
        <f>SUM(I40:I41)</f>
        <v>0</v>
      </c>
      <c r="J42" s="555">
        <f>SUM(J40:J41)</f>
        <v>1473</v>
      </c>
      <c r="K42" s="527">
        <f t="shared" si="6"/>
        <v>4974</v>
      </c>
      <c r="L42" s="555">
        <f>SUM(L40:L41)</f>
        <v>3501</v>
      </c>
      <c r="M42" s="555">
        <f>SUM(M40:M41)</f>
        <v>0</v>
      </c>
      <c r="N42" s="555">
        <f>SUM(N40:N41)</f>
        <v>0</v>
      </c>
      <c r="O42" s="555">
        <f>SUM(O40:O41)</f>
        <v>1473</v>
      </c>
      <c r="P42" s="505">
        <f t="shared" si="7"/>
        <v>4645</v>
      </c>
      <c r="Q42" s="535">
        <f>SUM(Q40:Q41)</f>
        <v>3300</v>
      </c>
      <c r="R42" s="555">
        <f>SUM(R40:R41)</f>
        <v>0</v>
      </c>
      <c r="S42" s="555">
        <f>SUM(S40:S41)</f>
        <v>0</v>
      </c>
      <c r="T42" s="534">
        <f>SUM(T40:T41)</f>
        <v>1345</v>
      </c>
      <c r="U42" s="527">
        <f t="shared" si="1"/>
        <v>-364</v>
      </c>
      <c r="V42" s="553">
        <f t="shared" si="2"/>
        <v>-236</v>
      </c>
      <c r="W42" s="553">
        <f t="shared" si="3"/>
        <v>0</v>
      </c>
      <c r="X42" s="553">
        <f t="shared" si="4"/>
        <v>0</v>
      </c>
      <c r="Y42" s="552">
        <f t="shared" si="5"/>
        <v>-128</v>
      </c>
    </row>
    <row r="43" spans="2:25" ht="15" hidden="1" thickBot="1" x14ac:dyDescent="0.25">
      <c r="B43" s="47" t="s">
        <v>492</v>
      </c>
      <c r="C43" s="46" t="s">
        <v>335</v>
      </c>
      <c r="D43" s="560" t="s">
        <v>459</v>
      </c>
      <c r="E43" s="44" t="s">
        <v>491</v>
      </c>
      <c r="F43" s="43">
        <f t="shared" si="0"/>
        <v>2526</v>
      </c>
      <c r="G43" s="42">
        <v>2293</v>
      </c>
      <c r="H43" s="42">
        <v>0</v>
      </c>
      <c r="I43" s="42">
        <v>0</v>
      </c>
      <c r="J43" s="42">
        <v>233</v>
      </c>
      <c r="K43" s="43">
        <f t="shared" si="6"/>
        <v>2503</v>
      </c>
      <c r="L43" s="42">
        <v>2270</v>
      </c>
      <c r="M43" s="42">
        <v>0</v>
      </c>
      <c r="N43" s="42">
        <v>0</v>
      </c>
      <c r="O43" s="42">
        <v>233</v>
      </c>
      <c r="P43" s="499">
        <f t="shared" si="7"/>
        <v>2379</v>
      </c>
      <c r="Q43" s="205">
        <v>2179</v>
      </c>
      <c r="R43" s="42">
        <v>0</v>
      </c>
      <c r="S43" s="42">
        <v>0</v>
      </c>
      <c r="T43" s="206">
        <v>200</v>
      </c>
      <c r="U43" s="43">
        <f t="shared" si="1"/>
        <v>-147</v>
      </c>
      <c r="V43" s="42">
        <f t="shared" si="2"/>
        <v>-114</v>
      </c>
      <c r="W43" s="42">
        <f t="shared" si="3"/>
        <v>0</v>
      </c>
      <c r="X43" s="42">
        <f t="shared" si="4"/>
        <v>0</v>
      </c>
      <c r="Y43" s="41">
        <f t="shared" si="5"/>
        <v>-33</v>
      </c>
    </row>
    <row r="44" spans="2:25" ht="15" hidden="1" thickBot="1" x14ac:dyDescent="0.25">
      <c r="B44" s="47" t="s">
        <v>492</v>
      </c>
      <c r="C44" s="46" t="s">
        <v>277</v>
      </c>
      <c r="D44" s="560" t="s">
        <v>459</v>
      </c>
      <c r="E44" s="44" t="s">
        <v>491</v>
      </c>
      <c r="F44" s="43">
        <f t="shared" si="0"/>
        <v>446</v>
      </c>
      <c r="G44" s="42">
        <v>446</v>
      </c>
      <c r="H44" s="42">
        <v>0</v>
      </c>
      <c r="I44" s="42">
        <v>0</v>
      </c>
      <c r="J44" s="42">
        <v>0</v>
      </c>
      <c r="K44" s="43">
        <f t="shared" si="6"/>
        <v>442</v>
      </c>
      <c r="L44" s="42">
        <v>442</v>
      </c>
      <c r="M44" s="42">
        <v>0</v>
      </c>
      <c r="N44" s="42">
        <v>0</v>
      </c>
      <c r="O44" s="42">
        <v>0</v>
      </c>
      <c r="P44" s="499">
        <f t="shared" si="7"/>
        <v>420</v>
      </c>
      <c r="Q44" s="205">
        <v>420</v>
      </c>
      <c r="R44" s="42">
        <v>0</v>
      </c>
      <c r="S44" s="42">
        <v>0</v>
      </c>
      <c r="T44" s="206">
        <v>0</v>
      </c>
      <c r="U44" s="43">
        <f t="shared" si="1"/>
        <v>-26</v>
      </c>
      <c r="V44" s="42">
        <f t="shared" si="2"/>
        <v>-26</v>
      </c>
      <c r="W44" s="42">
        <f t="shared" si="3"/>
        <v>0</v>
      </c>
      <c r="X44" s="42">
        <f t="shared" si="4"/>
        <v>0</v>
      </c>
      <c r="Y44" s="41">
        <f t="shared" si="5"/>
        <v>0</v>
      </c>
    </row>
    <row r="45" spans="2:25" ht="15.75" thickBot="1" x14ac:dyDescent="0.25">
      <c r="B45" s="559" t="s">
        <v>492</v>
      </c>
      <c r="C45" s="558"/>
      <c r="D45" s="557" t="s">
        <v>459</v>
      </c>
      <c r="E45" s="556" t="s">
        <v>491</v>
      </c>
      <c r="F45" s="527">
        <f t="shared" si="0"/>
        <v>2972</v>
      </c>
      <c r="G45" s="555">
        <f>SUM(G43:G44)</f>
        <v>2739</v>
      </c>
      <c r="H45" s="555">
        <f>SUM(H43:H44)</f>
        <v>0</v>
      </c>
      <c r="I45" s="555">
        <f>SUM(I43:I44)</f>
        <v>0</v>
      </c>
      <c r="J45" s="555">
        <f>SUM(J43:J44)</f>
        <v>233</v>
      </c>
      <c r="K45" s="527">
        <f t="shared" si="6"/>
        <v>2945</v>
      </c>
      <c r="L45" s="555">
        <f>SUM(L43:L44)</f>
        <v>2712</v>
      </c>
      <c r="M45" s="555">
        <f>SUM(M43:M44)</f>
        <v>0</v>
      </c>
      <c r="N45" s="555">
        <f>SUM(N43:N44)</f>
        <v>0</v>
      </c>
      <c r="O45" s="555">
        <f>SUM(O43:O44)</f>
        <v>233</v>
      </c>
      <c r="P45" s="505">
        <f t="shared" si="7"/>
        <v>2799</v>
      </c>
      <c r="Q45" s="535">
        <f>SUM(Q43:Q44)</f>
        <v>2599</v>
      </c>
      <c r="R45" s="555">
        <f>SUM(R43:R44)</f>
        <v>0</v>
      </c>
      <c r="S45" s="555">
        <f>SUM(S43:S44)</f>
        <v>0</v>
      </c>
      <c r="T45" s="534">
        <f>SUM(T43:T44)</f>
        <v>200</v>
      </c>
      <c r="U45" s="527">
        <f t="shared" si="1"/>
        <v>-173</v>
      </c>
      <c r="V45" s="553">
        <f t="shared" si="2"/>
        <v>-140</v>
      </c>
      <c r="W45" s="553">
        <f t="shared" si="3"/>
        <v>0</v>
      </c>
      <c r="X45" s="553">
        <f t="shared" si="4"/>
        <v>0</v>
      </c>
      <c r="Y45" s="552">
        <f t="shared" si="5"/>
        <v>-33</v>
      </c>
    </row>
    <row r="46" spans="2:25" ht="15" hidden="1" thickBot="1" x14ac:dyDescent="0.25">
      <c r="B46" s="47" t="s">
        <v>490</v>
      </c>
      <c r="C46" s="46" t="s">
        <v>307</v>
      </c>
      <c r="D46" s="560" t="s">
        <v>459</v>
      </c>
      <c r="E46" s="44" t="s">
        <v>489</v>
      </c>
      <c r="F46" s="43">
        <f t="shared" si="0"/>
        <v>6295</v>
      </c>
      <c r="G46" s="42">
        <v>3000</v>
      </c>
      <c r="H46" s="42">
        <v>0</v>
      </c>
      <c r="I46" s="42">
        <v>0</v>
      </c>
      <c r="J46" s="42">
        <v>3295</v>
      </c>
      <c r="K46" s="43">
        <f t="shared" si="6"/>
        <v>6265</v>
      </c>
      <c r="L46" s="42">
        <v>2970</v>
      </c>
      <c r="M46" s="42">
        <v>0</v>
      </c>
      <c r="N46" s="42">
        <v>0</v>
      </c>
      <c r="O46" s="42">
        <v>3295</v>
      </c>
      <c r="P46" s="499">
        <f t="shared" si="7"/>
        <v>5865</v>
      </c>
      <c r="Q46" s="205">
        <v>3368</v>
      </c>
      <c r="R46" s="42">
        <v>0</v>
      </c>
      <c r="S46" s="42">
        <v>0</v>
      </c>
      <c r="T46" s="206">
        <v>2497</v>
      </c>
      <c r="U46" s="43">
        <f t="shared" si="1"/>
        <v>-430</v>
      </c>
      <c r="V46" s="42">
        <f t="shared" si="2"/>
        <v>368</v>
      </c>
      <c r="W46" s="42">
        <f t="shared" si="3"/>
        <v>0</v>
      </c>
      <c r="X46" s="42">
        <f t="shared" si="4"/>
        <v>0</v>
      </c>
      <c r="Y46" s="41">
        <f t="shared" si="5"/>
        <v>-798</v>
      </c>
    </row>
    <row r="47" spans="2:25" ht="15" hidden="1" thickBot="1" x14ac:dyDescent="0.25">
      <c r="B47" s="47" t="s">
        <v>490</v>
      </c>
      <c r="C47" s="46" t="s">
        <v>277</v>
      </c>
      <c r="D47" s="560" t="s">
        <v>459</v>
      </c>
      <c r="E47" s="44" t="s">
        <v>489</v>
      </c>
      <c r="F47" s="43">
        <f t="shared" si="0"/>
        <v>993</v>
      </c>
      <c r="G47" s="42">
        <v>993</v>
      </c>
      <c r="H47" s="42">
        <v>0</v>
      </c>
      <c r="I47" s="42">
        <v>0</v>
      </c>
      <c r="J47" s="42">
        <v>0</v>
      </c>
      <c r="K47" s="43">
        <f t="shared" si="6"/>
        <v>983</v>
      </c>
      <c r="L47" s="42">
        <v>983</v>
      </c>
      <c r="M47" s="42">
        <v>0</v>
      </c>
      <c r="N47" s="42">
        <v>0</v>
      </c>
      <c r="O47" s="42">
        <v>0</v>
      </c>
      <c r="P47" s="499">
        <f t="shared" si="7"/>
        <v>955</v>
      </c>
      <c r="Q47" s="205">
        <v>955</v>
      </c>
      <c r="R47" s="42">
        <v>0</v>
      </c>
      <c r="S47" s="42">
        <v>0</v>
      </c>
      <c r="T47" s="206">
        <v>0</v>
      </c>
      <c r="U47" s="43">
        <f t="shared" si="1"/>
        <v>-38</v>
      </c>
      <c r="V47" s="42">
        <f t="shared" si="2"/>
        <v>-38</v>
      </c>
      <c r="W47" s="42">
        <f t="shared" si="3"/>
        <v>0</v>
      </c>
      <c r="X47" s="42">
        <f t="shared" si="4"/>
        <v>0</v>
      </c>
      <c r="Y47" s="41">
        <f t="shared" si="5"/>
        <v>0</v>
      </c>
    </row>
    <row r="48" spans="2:25" ht="15" hidden="1" thickBot="1" x14ac:dyDescent="0.25">
      <c r="B48" s="47" t="s">
        <v>490</v>
      </c>
      <c r="C48" s="46" t="s">
        <v>301</v>
      </c>
      <c r="D48" s="560" t="s">
        <v>459</v>
      </c>
      <c r="E48" s="44" t="s">
        <v>489</v>
      </c>
      <c r="F48" s="43">
        <f t="shared" ref="F48:F79" si="8">SUM(G48:J48)</f>
        <v>1328</v>
      </c>
      <c r="G48" s="42">
        <v>1328</v>
      </c>
      <c r="H48" s="42">
        <v>0</v>
      </c>
      <c r="I48" s="42">
        <v>0</v>
      </c>
      <c r="J48" s="42">
        <v>0</v>
      </c>
      <c r="K48" s="43">
        <f t="shared" si="6"/>
        <v>1315</v>
      </c>
      <c r="L48" s="42">
        <v>1315</v>
      </c>
      <c r="M48" s="42">
        <v>0</v>
      </c>
      <c r="N48" s="42">
        <v>0</v>
      </c>
      <c r="O48" s="42">
        <v>0</v>
      </c>
      <c r="P48" s="499">
        <f t="shared" si="7"/>
        <v>1277</v>
      </c>
      <c r="Q48" s="205">
        <v>1277</v>
      </c>
      <c r="R48" s="42">
        <v>0</v>
      </c>
      <c r="S48" s="42">
        <v>0</v>
      </c>
      <c r="T48" s="206">
        <v>0</v>
      </c>
      <c r="U48" s="43">
        <f t="shared" ref="U48:U79" si="9">SUM(V48:Y48)</f>
        <v>-51</v>
      </c>
      <c r="V48" s="42">
        <f t="shared" ref="V48:V79" si="10">Q48-G48</f>
        <v>-51</v>
      </c>
      <c r="W48" s="42">
        <f t="shared" ref="W48:W79" si="11">R48-H48</f>
        <v>0</v>
      </c>
      <c r="X48" s="42">
        <f t="shared" ref="X48:X79" si="12">S48-I48</f>
        <v>0</v>
      </c>
      <c r="Y48" s="41">
        <f t="shared" ref="Y48:Y79" si="13">T48-J48</f>
        <v>0</v>
      </c>
    </row>
    <row r="49" spans="2:25" ht="15" hidden="1" thickBot="1" x14ac:dyDescent="0.25">
      <c r="B49" s="47" t="s">
        <v>490</v>
      </c>
      <c r="C49" s="46" t="s">
        <v>321</v>
      </c>
      <c r="D49" s="560" t="s">
        <v>459</v>
      </c>
      <c r="E49" s="44" t="s">
        <v>489</v>
      </c>
      <c r="F49" s="43">
        <f t="shared" si="8"/>
        <v>596</v>
      </c>
      <c r="G49" s="42">
        <v>596</v>
      </c>
      <c r="H49" s="42">
        <v>0</v>
      </c>
      <c r="I49" s="42">
        <v>0</v>
      </c>
      <c r="J49" s="42">
        <v>0</v>
      </c>
      <c r="K49" s="43">
        <f t="shared" si="6"/>
        <v>590</v>
      </c>
      <c r="L49" s="42">
        <v>590</v>
      </c>
      <c r="M49" s="42">
        <v>0</v>
      </c>
      <c r="N49" s="42">
        <v>0</v>
      </c>
      <c r="O49" s="42">
        <v>0</v>
      </c>
      <c r="P49" s="499">
        <f t="shared" si="7"/>
        <v>0</v>
      </c>
      <c r="Q49" s="205">
        <v>0</v>
      </c>
      <c r="R49" s="42">
        <v>0</v>
      </c>
      <c r="S49" s="42">
        <v>0</v>
      </c>
      <c r="T49" s="206">
        <v>0</v>
      </c>
      <c r="U49" s="43">
        <f t="shared" si="9"/>
        <v>-596</v>
      </c>
      <c r="V49" s="42">
        <f t="shared" si="10"/>
        <v>-596</v>
      </c>
      <c r="W49" s="42">
        <f t="shared" si="11"/>
        <v>0</v>
      </c>
      <c r="X49" s="42">
        <f t="shared" si="12"/>
        <v>0</v>
      </c>
      <c r="Y49" s="41">
        <f t="shared" si="13"/>
        <v>0</v>
      </c>
    </row>
    <row r="50" spans="2:25" ht="15.75" thickBot="1" x14ac:dyDescent="0.25">
      <c r="B50" s="559" t="s">
        <v>490</v>
      </c>
      <c r="C50" s="558"/>
      <c r="D50" s="557" t="s">
        <v>459</v>
      </c>
      <c r="E50" s="556" t="s">
        <v>489</v>
      </c>
      <c r="F50" s="527">
        <f t="shared" si="8"/>
        <v>9212</v>
      </c>
      <c r="G50" s="555">
        <f>SUM(G46:G49)</f>
        <v>5917</v>
      </c>
      <c r="H50" s="555">
        <f>SUM(H46:H49)</f>
        <v>0</v>
      </c>
      <c r="I50" s="555">
        <f>SUM(I46:I49)</f>
        <v>0</v>
      </c>
      <c r="J50" s="555">
        <f>SUM(J46:J49)</f>
        <v>3295</v>
      </c>
      <c r="K50" s="527">
        <f t="shared" si="6"/>
        <v>9153</v>
      </c>
      <c r="L50" s="555">
        <f>SUM(L46:L49)</f>
        <v>5858</v>
      </c>
      <c r="M50" s="555">
        <f>SUM(M46:M49)</f>
        <v>0</v>
      </c>
      <c r="N50" s="555">
        <f>SUM(N46:N49)</f>
        <v>0</v>
      </c>
      <c r="O50" s="555">
        <f>SUM(O46:O49)</f>
        <v>3295</v>
      </c>
      <c r="P50" s="505">
        <f t="shared" si="7"/>
        <v>8097</v>
      </c>
      <c r="Q50" s="535">
        <f>SUM(Q46:Q49)</f>
        <v>5600</v>
      </c>
      <c r="R50" s="555">
        <f>SUM(R46:R49)</f>
        <v>0</v>
      </c>
      <c r="S50" s="555">
        <f>SUM(S46:S49)</f>
        <v>0</v>
      </c>
      <c r="T50" s="534">
        <f>SUM(T46:T49)</f>
        <v>2497</v>
      </c>
      <c r="U50" s="527">
        <f t="shared" si="9"/>
        <v>-1115</v>
      </c>
      <c r="V50" s="553">
        <f t="shared" si="10"/>
        <v>-317</v>
      </c>
      <c r="W50" s="553">
        <f t="shared" si="11"/>
        <v>0</v>
      </c>
      <c r="X50" s="553">
        <f t="shared" si="12"/>
        <v>0</v>
      </c>
      <c r="Y50" s="552">
        <f t="shared" si="13"/>
        <v>-798</v>
      </c>
    </row>
    <row r="51" spans="2:25" ht="15" hidden="1" thickBot="1" x14ac:dyDescent="0.25">
      <c r="B51" s="47" t="s">
        <v>488</v>
      </c>
      <c r="C51" s="46" t="s">
        <v>307</v>
      </c>
      <c r="D51" s="560" t="s">
        <v>459</v>
      </c>
      <c r="E51" s="44" t="s">
        <v>487</v>
      </c>
      <c r="F51" s="43">
        <f t="shared" si="8"/>
        <v>2769</v>
      </c>
      <c r="G51" s="42">
        <v>1600</v>
      </c>
      <c r="H51" s="42">
        <v>0</v>
      </c>
      <c r="I51" s="42">
        <v>0</v>
      </c>
      <c r="J51" s="42">
        <v>1169</v>
      </c>
      <c r="K51" s="43">
        <f t="shared" si="6"/>
        <v>2753</v>
      </c>
      <c r="L51" s="42">
        <v>1584</v>
      </c>
      <c r="M51" s="42">
        <v>0</v>
      </c>
      <c r="N51" s="42">
        <v>0</v>
      </c>
      <c r="O51" s="42">
        <v>1169</v>
      </c>
      <c r="P51" s="499">
        <f t="shared" si="7"/>
        <v>1520</v>
      </c>
      <c r="Q51" s="205">
        <v>1520</v>
      </c>
      <c r="R51" s="42">
        <v>0</v>
      </c>
      <c r="S51" s="42">
        <v>0</v>
      </c>
      <c r="T51" s="206">
        <v>0</v>
      </c>
      <c r="U51" s="43">
        <f t="shared" si="9"/>
        <v>-1249</v>
      </c>
      <c r="V51" s="42">
        <f t="shared" si="10"/>
        <v>-80</v>
      </c>
      <c r="W51" s="42">
        <f t="shared" si="11"/>
        <v>0</v>
      </c>
      <c r="X51" s="42">
        <f t="shared" si="12"/>
        <v>0</v>
      </c>
      <c r="Y51" s="41">
        <f t="shared" si="13"/>
        <v>-1169</v>
      </c>
    </row>
    <row r="52" spans="2:25" ht="15" hidden="1" thickBot="1" x14ac:dyDescent="0.25">
      <c r="B52" s="47" t="s">
        <v>488</v>
      </c>
      <c r="C52" s="46" t="s">
        <v>302</v>
      </c>
      <c r="D52" s="560" t="s">
        <v>459</v>
      </c>
      <c r="E52" s="44" t="s">
        <v>487</v>
      </c>
      <c r="F52" s="43">
        <f t="shared" si="8"/>
        <v>3030</v>
      </c>
      <c r="G52" s="42">
        <v>3030</v>
      </c>
      <c r="H52" s="42">
        <v>0</v>
      </c>
      <c r="I52" s="42">
        <v>0</v>
      </c>
      <c r="J52" s="42">
        <v>0</v>
      </c>
      <c r="K52" s="43">
        <f t="shared" si="6"/>
        <v>3000</v>
      </c>
      <c r="L52" s="42">
        <v>3000</v>
      </c>
      <c r="M52" s="42">
        <v>0</v>
      </c>
      <c r="N52" s="42">
        <v>0</v>
      </c>
      <c r="O52" s="42">
        <v>0</v>
      </c>
      <c r="P52" s="499">
        <f t="shared" si="7"/>
        <v>3860</v>
      </c>
      <c r="Q52" s="205">
        <f>2795-18</f>
        <v>2777</v>
      </c>
      <c r="R52" s="42">
        <v>0</v>
      </c>
      <c r="S52" s="42">
        <v>0</v>
      </c>
      <c r="T52" s="206">
        <v>1083</v>
      </c>
      <c r="U52" s="43">
        <f t="shared" si="9"/>
        <v>830</v>
      </c>
      <c r="V52" s="42">
        <f t="shared" si="10"/>
        <v>-253</v>
      </c>
      <c r="W52" s="42">
        <f t="shared" si="11"/>
        <v>0</v>
      </c>
      <c r="X52" s="42">
        <f t="shared" si="12"/>
        <v>0</v>
      </c>
      <c r="Y52" s="41">
        <f t="shared" si="13"/>
        <v>1083</v>
      </c>
    </row>
    <row r="53" spans="2:25" ht="15" hidden="1" thickBot="1" x14ac:dyDescent="0.25">
      <c r="B53" s="47" t="s">
        <v>488</v>
      </c>
      <c r="C53" s="46" t="s">
        <v>277</v>
      </c>
      <c r="D53" s="560" t="s">
        <v>459</v>
      </c>
      <c r="E53" s="44" t="s">
        <v>487</v>
      </c>
      <c r="F53" s="43">
        <f t="shared" si="8"/>
        <v>370</v>
      </c>
      <c r="G53" s="42">
        <v>370</v>
      </c>
      <c r="H53" s="42">
        <v>0</v>
      </c>
      <c r="I53" s="42">
        <v>0</v>
      </c>
      <c r="J53" s="42">
        <v>0</v>
      </c>
      <c r="K53" s="43">
        <f t="shared" si="6"/>
        <v>366</v>
      </c>
      <c r="L53" s="42">
        <v>366</v>
      </c>
      <c r="M53" s="42">
        <v>0</v>
      </c>
      <c r="N53" s="42">
        <v>0</v>
      </c>
      <c r="O53" s="42">
        <v>0</v>
      </c>
      <c r="P53" s="499">
        <f t="shared" si="7"/>
        <v>350</v>
      </c>
      <c r="Q53" s="205">
        <v>350</v>
      </c>
      <c r="R53" s="42">
        <v>0</v>
      </c>
      <c r="S53" s="42">
        <v>0</v>
      </c>
      <c r="T53" s="206">
        <v>0</v>
      </c>
      <c r="U53" s="43">
        <f t="shared" si="9"/>
        <v>-20</v>
      </c>
      <c r="V53" s="42">
        <f t="shared" si="10"/>
        <v>-20</v>
      </c>
      <c r="W53" s="42">
        <f t="shared" si="11"/>
        <v>0</v>
      </c>
      <c r="X53" s="42">
        <f t="shared" si="12"/>
        <v>0</v>
      </c>
      <c r="Y53" s="41">
        <f t="shared" si="13"/>
        <v>0</v>
      </c>
    </row>
    <row r="54" spans="2:25" ht="15" hidden="1" thickBot="1" x14ac:dyDescent="0.25">
      <c r="B54" s="47" t="s">
        <v>488</v>
      </c>
      <c r="C54" s="46" t="s">
        <v>301</v>
      </c>
      <c r="D54" s="560" t="s">
        <v>459</v>
      </c>
      <c r="E54" s="44" t="s">
        <v>487</v>
      </c>
      <c r="F54" s="43">
        <f t="shared" si="8"/>
        <v>770</v>
      </c>
      <c r="G54" s="42">
        <v>770</v>
      </c>
      <c r="H54" s="42">
        <v>0</v>
      </c>
      <c r="I54" s="42">
        <v>0</v>
      </c>
      <c r="J54" s="42">
        <v>0</v>
      </c>
      <c r="K54" s="43">
        <f t="shared" si="6"/>
        <v>762</v>
      </c>
      <c r="L54" s="42">
        <v>762</v>
      </c>
      <c r="M54" s="42">
        <v>0</v>
      </c>
      <c r="N54" s="42">
        <v>0</v>
      </c>
      <c r="O54" s="42">
        <v>0</v>
      </c>
      <c r="P54" s="499">
        <f t="shared" si="7"/>
        <v>730</v>
      </c>
      <c r="Q54" s="205">
        <v>730</v>
      </c>
      <c r="R54" s="42">
        <v>0</v>
      </c>
      <c r="S54" s="42">
        <v>0</v>
      </c>
      <c r="T54" s="206">
        <v>0</v>
      </c>
      <c r="U54" s="43">
        <f t="shared" si="9"/>
        <v>-40</v>
      </c>
      <c r="V54" s="42">
        <f t="shared" si="10"/>
        <v>-40</v>
      </c>
      <c r="W54" s="42">
        <f t="shared" si="11"/>
        <v>0</v>
      </c>
      <c r="X54" s="42">
        <f t="shared" si="12"/>
        <v>0</v>
      </c>
      <c r="Y54" s="41">
        <f t="shared" si="13"/>
        <v>0</v>
      </c>
    </row>
    <row r="55" spans="2:25" ht="15" hidden="1" thickBot="1" x14ac:dyDescent="0.25">
      <c r="B55" s="47" t="s">
        <v>488</v>
      </c>
      <c r="C55" s="46" t="s">
        <v>321</v>
      </c>
      <c r="D55" s="560" t="s">
        <v>459</v>
      </c>
      <c r="E55" s="44" t="s">
        <v>487</v>
      </c>
      <c r="F55" s="43">
        <f t="shared" si="8"/>
        <v>320</v>
      </c>
      <c r="G55" s="42">
        <v>320</v>
      </c>
      <c r="H55" s="42">
        <v>0</v>
      </c>
      <c r="I55" s="42">
        <v>0</v>
      </c>
      <c r="J55" s="42">
        <v>0</v>
      </c>
      <c r="K55" s="43">
        <f t="shared" si="6"/>
        <v>317</v>
      </c>
      <c r="L55" s="42">
        <v>317</v>
      </c>
      <c r="M55" s="42">
        <v>0</v>
      </c>
      <c r="N55" s="42">
        <v>0</v>
      </c>
      <c r="O55" s="42">
        <v>0</v>
      </c>
      <c r="P55" s="499">
        <f t="shared" si="7"/>
        <v>305</v>
      </c>
      <c r="Q55" s="205">
        <v>305</v>
      </c>
      <c r="R55" s="42">
        <v>0</v>
      </c>
      <c r="S55" s="42">
        <v>0</v>
      </c>
      <c r="T55" s="206">
        <v>0</v>
      </c>
      <c r="U55" s="43">
        <f t="shared" si="9"/>
        <v>-15</v>
      </c>
      <c r="V55" s="42">
        <f t="shared" si="10"/>
        <v>-15</v>
      </c>
      <c r="W55" s="42">
        <f t="shared" si="11"/>
        <v>0</v>
      </c>
      <c r="X55" s="42">
        <f t="shared" si="12"/>
        <v>0</v>
      </c>
      <c r="Y55" s="41">
        <f t="shared" si="13"/>
        <v>0</v>
      </c>
    </row>
    <row r="56" spans="2:25" ht="15.75" thickBot="1" x14ac:dyDescent="0.25">
      <c r="B56" s="559" t="s">
        <v>488</v>
      </c>
      <c r="C56" s="558"/>
      <c r="D56" s="557" t="s">
        <v>459</v>
      </c>
      <c r="E56" s="556" t="s">
        <v>487</v>
      </c>
      <c r="F56" s="527">
        <f t="shared" si="8"/>
        <v>7259</v>
      </c>
      <c r="G56" s="555">
        <f>SUM(G51:G55)</f>
        <v>6090</v>
      </c>
      <c r="H56" s="555">
        <f>SUM(H51:H55)</f>
        <v>0</v>
      </c>
      <c r="I56" s="555">
        <f>SUM(I51:I55)</f>
        <v>0</v>
      </c>
      <c r="J56" s="555">
        <f>SUM(J51:J55)</f>
        <v>1169</v>
      </c>
      <c r="K56" s="527">
        <f t="shared" si="6"/>
        <v>7198</v>
      </c>
      <c r="L56" s="555">
        <f>SUM(L51:L55)</f>
        <v>6029</v>
      </c>
      <c r="M56" s="555">
        <f>SUM(M51:M55)</f>
        <v>0</v>
      </c>
      <c r="N56" s="555">
        <f>SUM(N51:N55)</f>
        <v>0</v>
      </c>
      <c r="O56" s="555">
        <f>SUM(O51:O55)</f>
        <v>1169</v>
      </c>
      <c r="P56" s="505">
        <f t="shared" si="7"/>
        <v>6765</v>
      </c>
      <c r="Q56" s="535">
        <f>SUM(Q51:Q55)</f>
        <v>5682</v>
      </c>
      <c r="R56" s="555">
        <f>SUM(R51:R55)</f>
        <v>0</v>
      </c>
      <c r="S56" s="555">
        <f>SUM(S51:S55)</f>
        <v>0</v>
      </c>
      <c r="T56" s="534">
        <f>SUM(T51:T55)</f>
        <v>1083</v>
      </c>
      <c r="U56" s="527">
        <f t="shared" si="9"/>
        <v>-494</v>
      </c>
      <c r="V56" s="553">
        <f t="shared" si="10"/>
        <v>-408</v>
      </c>
      <c r="W56" s="553">
        <f t="shared" si="11"/>
        <v>0</v>
      </c>
      <c r="X56" s="553">
        <f t="shared" si="12"/>
        <v>0</v>
      </c>
      <c r="Y56" s="552">
        <f t="shared" si="13"/>
        <v>-86</v>
      </c>
    </row>
    <row r="57" spans="2:25" ht="15" hidden="1" thickBot="1" x14ac:dyDescent="0.25">
      <c r="B57" s="47" t="s">
        <v>486</v>
      </c>
      <c r="C57" s="46" t="s">
        <v>307</v>
      </c>
      <c r="D57" s="560" t="s">
        <v>459</v>
      </c>
      <c r="E57" s="44" t="s">
        <v>485</v>
      </c>
      <c r="F57" s="43">
        <f t="shared" si="8"/>
        <v>1893</v>
      </c>
      <c r="G57" s="42">
        <v>1580</v>
      </c>
      <c r="H57" s="42">
        <v>0</v>
      </c>
      <c r="I57" s="42">
        <v>0</v>
      </c>
      <c r="J57" s="42">
        <v>313</v>
      </c>
      <c r="K57" s="43">
        <f t="shared" si="6"/>
        <v>1877</v>
      </c>
      <c r="L57" s="42">
        <v>1564</v>
      </c>
      <c r="M57" s="42">
        <v>0</v>
      </c>
      <c r="N57" s="42">
        <v>0</v>
      </c>
      <c r="O57" s="42">
        <v>313</v>
      </c>
      <c r="P57" s="499">
        <f t="shared" si="7"/>
        <v>1951</v>
      </c>
      <c r="Q57" s="205">
        <f>1494+100-6</f>
        <v>1588</v>
      </c>
      <c r="R57" s="42">
        <v>0</v>
      </c>
      <c r="S57" s="42">
        <v>0</v>
      </c>
      <c r="T57" s="206">
        <v>363</v>
      </c>
      <c r="U57" s="43">
        <f t="shared" si="9"/>
        <v>58</v>
      </c>
      <c r="V57" s="42">
        <f t="shared" si="10"/>
        <v>8</v>
      </c>
      <c r="W57" s="42">
        <f t="shared" si="11"/>
        <v>0</v>
      </c>
      <c r="X57" s="42">
        <f t="shared" si="12"/>
        <v>0</v>
      </c>
      <c r="Y57" s="41">
        <f t="shared" si="13"/>
        <v>50</v>
      </c>
    </row>
    <row r="58" spans="2:25" ht="26.25" thickBot="1" x14ac:dyDescent="0.25">
      <c r="B58" s="559" t="s">
        <v>486</v>
      </c>
      <c r="C58" s="558"/>
      <c r="D58" s="557" t="s">
        <v>459</v>
      </c>
      <c r="E58" s="556" t="s">
        <v>485</v>
      </c>
      <c r="F58" s="527">
        <f t="shared" si="8"/>
        <v>1893</v>
      </c>
      <c r="G58" s="555">
        <f>SUM(G57)</f>
        <v>1580</v>
      </c>
      <c r="H58" s="555">
        <f>SUM(H57)</f>
        <v>0</v>
      </c>
      <c r="I58" s="555">
        <f>SUM(I57)</f>
        <v>0</v>
      </c>
      <c r="J58" s="555">
        <f>SUM(J57)</f>
        <v>313</v>
      </c>
      <c r="K58" s="527">
        <f t="shared" si="6"/>
        <v>1877</v>
      </c>
      <c r="L58" s="555">
        <f>SUM(L57)</f>
        <v>1564</v>
      </c>
      <c r="M58" s="555">
        <f>SUM(M57)</f>
        <v>0</v>
      </c>
      <c r="N58" s="555">
        <f>SUM(N57)</f>
        <v>0</v>
      </c>
      <c r="O58" s="555">
        <f>SUM(O57)</f>
        <v>313</v>
      </c>
      <c r="P58" s="505">
        <f t="shared" si="7"/>
        <v>1951</v>
      </c>
      <c r="Q58" s="535">
        <f>SUM(Q57)</f>
        <v>1588</v>
      </c>
      <c r="R58" s="555">
        <f>SUM(R57)</f>
        <v>0</v>
      </c>
      <c r="S58" s="555">
        <f>SUM(S57)</f>
        <v>0</v>
      </c>
      <c r="T58" s="534">
        <f>SUM(T57)</f>
        <v>363</v>
      </c>
      <c r="U58" s="527">
        <f t="shared" si="9"/>
        <v>58</v>
      </c>
      <c r="V58" s="553">
        <f t="shared" si="10"/>
        <v>8</v>
      </c>
      <c r="W58" s="553">
        <f t="shared" si="11"/>
        <v>0</v>
      </c>
      <c r="X58" s="553">
        <f t="shared" si="12"/>
        <v>0</v>
      </c>
      <c r="Y58" s="552">
        <f t="shared" si="13"/>
        <v>50</v>
      </c>
    </row>
    <row r="59" spans="2:25" ht="15" hidden="1" thickBot="1" x14ac:dyDescent="0.25">
      <c r="B59" s="47" t="s">
        <v>484</v>
      </c>
      <c r="C59" s="46" t="s">
        <v>307</v>
      </c>
      <c r="D59" s="560" t="s">
        <v>459</v>
      </c>
      <c r="E59" s="44" t="s">
        <v>483</v>
      </c>
      <c r="F59" s="43">
        <f t="shared" si="8"/>
        <v>2058</v>
      </c>
      <c r="G59" s="42">
        <v>1700</v>
      </c>
      <c r="H59" s="42">
        <v>0</v>
      </c>
      <c r="I59" s="42">
        <v>0</v>
      </c>
      <c r="J59" s="42">
        <v>358</v>
      </c>
      <c r="K59" s="43">
        <f t="shared" si="6"/>
        <v>2041</v>
      </c>
      <c r="L59" s="42">
        <v>1683</v>
      </c>
      <c r="M59" s="42">
        <v>0</v>
      </c>
      <c r="N59" s="42">
        <v>0</v>
      </c>
      <c r="O59" s="42">
        <v>358</v>
      </c>
      <c r="P59" s="499">
        <f t="shared" si="7"/>
        <v>2125</v>
      </c>
      <c r="Q59" s="205">
        <v>1608</v>
      </c>
      <c r="R59" s="42">
        <v>0</v>
      </c>
      <c r="S59" s="42">
        <v>0</v>
      </c>
      <c r="T59" s="206">
        <v>517</v>
      </c>
      <c r="U59" s="43">
        <f t="shared" si="9"/>
        <v>67</v>
      </c>
      <c r="V59" s="42">
        <f t="shared" si="10"/>
        <v>-92</v>
      </c>
      <c r="W59" s="42">
        <f t="shared" si="11"/>
        <v>0</v>
      </c>
      <c r="X59" s="42">
        <f t="shared" si="12"/>
        <v>0</v>
      </c>
      <c r="Y59" s="41">
        <f t="shared" si="13"/>
        <v>159</v>
      </c>
    </row>
    <row r="60" spans="2:25" ht="15" hidden="1" thickBot="1" x14ac:dyDescent="0.25">
      <c r="B60" s="47" t="s">
        <v>484</v>
      </c>
      <c r="C60" s="46" t="s">
        <v>277</v>
      </c>
      <c r="D60" s="560" t="s">
        <v>459</v>
      </c>
      <c r="E60" s="44" t="s">
        <v>483</v>
      </c>
      <c r="F60" s="43">
        <f t="shared" si="8"/>
        <v>828</v>
      </c>
      <c r="G60" s="42">
        <v>500</v>
      </c>
      <c r="H60" s="42">
        <v>0</v>
      </c>
      <c r="I60" s="42">
        <v>0</v>
      </c>
      <c r="J60" s="42">
        <v>328</v>
      </c>
      <c r="K60" s="43">
        <f t="shared" si="6"/>
        <v>823</v>
      </c>
      <c r="L60" s="42">
        <v>495</v>
      </c>
      <c r="M60" s="42">
        <v>0</v>
      </c>
      <c r="N60" s="42">
        <v>0</v>
      </c>
      <c r="O60" s="42">
        <v>328</v>
      </c>
      <c r="P60" s="499">
        <f t="shared" si="7"/>
        <v>475</v>
      </c>
      <c r="Q60" s="205">
        <v>475</v>
      </c>
      <c r="R60" s="42">
        <v>0</v>
      </c>
      <c r="S60" s="42">
        <v>0</v>
      </c>
      <c r="T60" s="206"/>
      <c r="U60" s="43">
        <f t="shared" si="9"/>
        <v>-353</v>
      </c>
      <c r="V60" s="42">
        <f t="shared" si="10"/>
        <v>-25</v>
      </c>
      <c r="W60" s="42">
        <f t="shared" si="11"/>
        <v>0</v>
      </c>
      <c r="X60" s="42">
        <f t="shared" si="12"/>
        <v>0</v>
      </c>
      <c r="Y60" s="41">
        <f t="shared" si="13"/>
        <v>-328</v>
      </c>
    </row>
    <row r="61" spans="2:25" ht="15" hidden="1" thickBot="1" x14ac:dyDescent="0.25">
      <c r="B61" s="47" t="s">
        <v>484</v>
      </c>
      <c r="C61" s="46" t="s">
        <v>301</v>
      </c>
      <c r="D61" s="560" t="s">
        <v>459</v>
      </c>
      <c r="E61" s="44" t="s">
        <v>483</v>
      </c>
      <c r="F61" s="43">
        <f t="shared" si="8"/>
        <v>891</v>
      </c>
      <c r="G61" s="42">
        <v>734</v>
      </c>
      <c r="H61" s="42">
        <v>0</v>
      </c>
      <c r="I61" s="42">
        <v>0</v>
      </c>
      <c r="J61" s="42">
        <v>157</v>
      </c>
      <c r="K61" s="43">
        <f t="shared" si="6"/>
        <v>884</v>
      </c>
      <c r="L61" s="42">
        <v>727</v>
      </c>
      <c r="M61" s="42">
        <v>0</v>
      </c>
      <c r="N61" s="42">
        <v>0</v>
      </c>
      <c r="O61" s="42">
        <v>157</v>
      </c>
      <c r="P61" s="499">
        <f t="shared" si="7"/>
        <v>697</v>
      </c>
      <c r="Q61" s="205">
        <v>697</v>
      </c>
      <c r="R61" s="42">
        <v>0</v>
      </c>
      <c r="S61" s="42">
        <v>0</v>
      </c>
      <c r="T61" s="206"/>
      <c r="U61" s="43">
        <f t="shared" si="9"/>
        <v>-194</v>
      </c>
      <c r="V61" s="42">
        <f t="shared" si="10"/>
        <v>-37</v>
      </c>
      <c r="W61" s="42">
        <f t="shared" si="11"/>
        <v>0</v>
      </c>
      <c r="X61" s="42">
        <f t="shared" si="12"/>
        <v>0</v>
      </c>
      <c r="Y61" s="41">
        <f t="shared" si="13"/>
        <v>-157</v>
      </c>
    </row>
    <row r="62" spans="2:25" ht="27" customHeight="1" thickBot="1" x14ac:dyDescent="0.25">
      <c r="B62" s="559" t="s">
        <v>484</v>
      </c>
      <c r="C62" s="558"/>
      <c r="D62" s="557" t="s">
        <v>459</v>
      </c>
      <c r="E62" s="556" t="s">
        <v>483</v>
      </c>
      <c r="F62" s="527">
        <f t="shared" si="8"/>
        <v>3777</v>
      </c>
      <c r="G62" s="555">
        <f>SUM(G59:G61)</f>
        <v>2934</v>
      </c>
      <c r="H62" s="555">
        <f>SUM(H59:H61)</f>
        <v>0</v>
      </c>
      <c r="I62" s="555">
        <f>SUM(I59:I61)</f>
        <v>0</v>
      </c>
      <c r="J62" s="555">
        <f>SUM(J59:J61)</f>
        <v>843</v>
      </c>
      <c r="K62" s="527">
        <f t="shared" si="6"/>
        <v>3748</v>
      </c>
      <c r="L62" s="555">
        <f>SUM(L59:L61)</f>
        <v>2905</v>
      </c>
      <c r="M62" s="555">
        <f>SUM(M59:M61)</f>
        <v>0</v>
      </c>
      <c r="N62" s="555">
        <f>SUM(N59:N61)</f>
        <v>0</v>
      </c>
      <c r="O62" s="555">
        <f>SUM(O59:O61)</f>
        <v>843</v>
      </c>
      <c r="P62" s="505">
        <f t="shared" si="7"/>
        <v>3297</v>
      </c>
      <c r="Q62" s="535">
        <f>SUM(Q59:Q61)</f>
        <v>2780</v>
      </c>
      <c r="R62" s="555">
        <f>SUM(R59:R61)</f>
        <v>0</v>
      </c>
      <c r="S62" s="555">
        <f>SUM(S59:S61)</f>
        <v>0</v>
      </c>
      <c r="T62" s="534">
        <f>SUM(T59:T61)</f>
        <v>517</v>
      </c>
      <c r="U62" s="527">
        <f t="shared" si="9"/>
        <v>-480</v>
      </c>
      <c r="V62" s="553">
        <f t="shared" si="10"/>
        <v>-154</v>
      </c>
      <c r="W62" s="553">
        <f t="shared" si="11"/>
        <v>0</v>
      </c>
      <c r="X62" s="553">
        <f t="shared" si="12"/>
        <v>0</v>
      </c>
      <c r="Y62" s="552">
        <f t="shared" si="13"/>
        <v>-326</v>
      </c>
    </row>
    <row r="63" spans="2:25" ht="26.25" hidden="1" thickBot="1" x14ac:dyDescent="0.25">
      <c r="B63" s="47" t="s">
        <v>482</v>
      </c>
      <c r="C63" s="46" t="s">
        <v>307</v>
      </c>
      <c r="D63" s="560" t="s">
        <v>459</v>
      </c>
      <c r="E63" s="44" t="s">
        <v>481</v>
      </c>
      <c r="F63" s="43">
        <f t="shared" si="8"/>
        <v>0</v>
      </c>
      <c r="G63" s="42">
        <v>0</v>
      </c>
      <c r="H63" s="42">
        <v>0</v>
      </c>
      <c r="I63" s="42">
        <v>0</v>
      </c>
      <c r="J63" s="42">
        <v>0</v>
      </c>
      <c r="K63" s="43">
        <f t="shared" si="6"/>
        <v>0</v>
      </c>
      <c r="L63" s="42">
        <v>0</v>
      </c>
      <c r="M63" s="42">
        <v>0</v>
      </c>
      <c r="N63" s="42">
        <v>0</v>
      </c>
      <c r="O63" s="42">
        <v>0</v>
      </c>
      <c r="P63" s="499">
        <f t="shared" si="7"/>
        <v>3784</v>
      </c>
      <c r="Q63" s="205">
        <v>3784</v>
      </c>
      <c r="R63" s="42">
        <v>0</v>
      </c>
      <c r="S63" s="42">
        <v>0</v>
      </c>
      <c r="T63" s="206"/>
      <c r="U63" s="43">
        <f t="shared" si="9"/>
        <v>3784</v>
      </c>
      <c r="V63" s="42">
        <f t="shared" si="10"/>
        <v>3784</v>
      </c>
      <c r="W63" s="42">
        <f t="shared" si="11"/>
        <v>0</v>
      </c>
      <c r="X63" s="42">
        <f t="shared" si="12"/>
        <v>0</v>
      </c>
      <c r="Y63" s="41">
        <f t="shared" si="13"/>
        <v>0</v>
      </c>
    </row>
    <row r="64" spans="2:25" ht="26.25" hidden="1" thickBot="1" x14ac:dyDescent="0.25">
      <c r="B64" s="47" t="s">
        <v>482</v>
      </c>
      <c r="C64" s="46" t="s">
        <v>302</v>
      </c>
      <c r="D64" s="560" t="s">
        <v>459</v>
      </c>
      <c r="E64" s="44" t="s">
        <v>481</v>
      </c>
      <c r="F64" s="43">
        <f t="shared" si="8"/>
        <v>8609</v>
      </c>
      <c r="G64" s="42">
        <v>6992</v>
      </c>
      <c r="H64" s="42">
        <v>0</v>
      </c>
      <c r="I64" s="42">
        <v>0</v>
      </c>
      <c r="J64" s="42">
        <v>1617</v>
      </c>
      <c r="K64" s="43">
        <f t="shared" si="6"/>
        <v>10331.32</v>
      </c>
      <c r="L64" s="42">
        <v>8370</v>
      </c>
      <c r="M64" s="42">
        <v>0</v>
      </c>
      <c r="N64" s="42">
        <v>0</v>
      </c>
      <c r="O64" s="42">
        <f>196132/100</f>
        <v>1961.32</v>
      </c>
      <c r="P64" s="499">
        <f t="shared" si="7"/>
        <v>9125</v>
      </c>
      <c r="Q64" s="205">
        <f>7026-49</f>
        <v>6977</v>
      </c>
      <c r="R64" s="42">
        <v>0</v>
      </c>
      <c r="S64" s="42">
        <v>0</v>
      </c>
      <c r="T64" s="206">
        <v>2148</v>
      </c>
      <c r="U64" s="43">
        <f t="shared" si="9"/>
        <v>516</v>
      </c>
      <c r="V64" s="42">
        <f t="shared" si="10"/>
        <v>-15</v>
      </c>
      <c r="W64" s="42">
        <f t="shared" si="11"/>
        <v>0</v>
      </c>
      <c r="X64" s="42">
        <f t="shared" si="12"/>
        <v>0</v>
      </c>
      <c r="Y64" s="41">
        <f t="shared" si="13"/>
        <v>531</v>
      </c>
    </row>
    <row r="65" spans="2:25" ht="26.25" thickBot="1" x14ac:dyDescent="0.25">
      <c r="B65" s="559" t="s">
        <v>482</v>
      </c>
      <c r="C65" s="558"/>
      <c r="D65" s="557" t="s">
        <v>459</v>
      </c>
      <c r="E65" s="556" t="s">
        <v>481</v>
      </c>
      <c r="F65" s="527">
        <f t="shared" si="8"/>
        <v>8609</v>
      </c>
      <c r="G65" s="555">
        <f>SUM(G63:G64)</f>
        <v>6992</v>
      </c>
      <c r="H65" s="555">
        <f>SUM(H63:H64)</f>
        <v>0</v>
      </c>
      <c r="I65" s="555">
        <f>SUM(I63:I64)</f>
        <v>0</v>
      </c>
      <c r="J65" s="555">
        <f>SUM(J63:J64)</f>
        <v>1617</v>
      </c>
      <c r="K65" s="527">
        <f t="shared" si="6"/>
        <v>10331.32</v>
      </c>
      <c r="L65" s="555">
        <f>SUM(L63:L64)</f>
        <v>8370</v>
      </c>
      <c r="M65" s="555">
        <f>SUM(M63:M64)</f>
        <v>0</v>
      </c>
      <c r="N65" s="555">
        <f>SUM(N63:N64)</f>
        <v>0</v>
      </c>
      <c r="O65" s="555">
        <f>SUM(O63:O64)</f>
        <v>1961.32</v>
      </c>
      <c r="P65" s="505">
        <f t="shared" si="7"/>
        <v>12909</v>
      </c>
      <c r="Q65" s="535">
        <f>SUM(Q63:Q64)</f>
        <v>10761</v>
      </c>
      <c r="R65" s="555">
        <f>SUM(R63:R64)</f>
        <v>0</v>
      </c>
      <c r="S65" s="555">
        <f>SUM(S63:S64)</f>
        <v>0</v>
      </c>
      <c r="T65" s="534">
        <f>SUM(T63:T64)</f>
        <v>2148</v>
      </c>
      <c r="U65" s="527">
        <f t="shared" si="9"/>
        <v>4300</v>
      </c>
      <c r="V65" s="553">
        <f t="shared" si="10"/>
        <v>3769</v>
      </c>
      <c r="W65" s="553">
        <f t="shared" si="11"/>
        <v>0</v>
      </c>
      <c r="X65" s="553">
        <f t="shared" si="12"/>
        <v>0</v>
      </c>
      <c r="Y65" s="552">
        <f t="shared" si="13"/>
        <v>531</v>
      </c>
    </row>
    <row r="66" spans="2:25" ht="15" hidden="1" thickBot="1" x14ac:dyDescent="0.25">
      <c r="B66" s="47" t="s">
        <v>480</v>
      </c>
      <c r="C66" s="46" t="s">
        <v>307</v>
      </c>
      <c r="D66" s="560" t="s">
        <v>459</v>
      </c>
      <c r="E66" s="44" t="s">
        <v>479</v>
      </c>
      <c r="F66" s="43">
        <f t="shared" si="8"/>
        <v>2066</v>
      </c>
      <c r="G66" s="42">
        <v>1578</v>
      </c>
      <c r="H66" s="42">
        <v>0</v>
      </c>
      <c r="I66" s="42">
        <v>0</v>
      </c>
      <c r="J66" s="42">
        <v>488</v>
      </c>
      <c r="K66" s="43">
        <f t="shared" si="6"/>
        <v>2050</v>
      </c>
      <c r="L66" s="42">
        <v>1562</v>
      </c>
      <c r="M66" s="42">
        <v>0</v>
      </c>
      <c r="N66" s="42">
        <v>0</v>
      </c>
      <c r="O66" s="42">
        <v>488</v>
      </c>
      <c r="P66" s="499">
        <f t="shared" si="7"/>
        <v>2153</v>
      </c>
      <c r="Q66" s="205">
        <f>1499-16</f>
        <v>1483</v>
      </c>
      <c r="R66" s="42">
        <v>0</v>
      </c>
      <c r="S66" s="42">
        <v>0</v>
      </c>
      <c r="T66" s="206">
        <v>670</v>
      </c>
      <c r="U66" s="43">
        <f t="shared" si="9"/>
        <v>87</v>
      </c>
      <c r="V66" s="42">
        <f t="shared" si="10"/>
        <v>-95</v>
      </c>
      <c r="W66" s="42">
        <f t="shared" si="11"/>
        <v>0</v>
      </c>
      <c r="X66" s="42">
        <f t="shared" si="12"/>
        <v>0</v>
      </c>
      <c r="Y66" s="41">
        <f t="shared" si="13"/>
        <v>182</v>
      </c>
    </row>
    <row r="67" spans="2:25" ht="15" hidden="1" thickBot="1" x14ac:dyDescent="0.25">
      <c r="B67" s="47" t="s">
        <v>480</v>
      </c>
      <c r="C67" s="46" t="s">
        <v>277</v>
      </c>
      <c r="D67" s="560" t="s">
        <v>459</v>
      </c>
      <c r="E67" s="44" t="s">
        <v>479</v>
      </c>
      <c r="F67" s="43">
        <f t="shared" si="8"/>
        <v>803</v>
      </c>
      <c r="G67" s="42">
        <v>668</v>
      </c>
      <c r="H67" s="42">
        <v>0</v>
      </c>
      <c r="I67" s="42">
        <v>0</v>
      </c>
      <c r="J67" s="42">
        <v>135</v>
      </c>
      <c r="K67" s="43">
        <f t="shared" si="6"/>
        <v>796</v>
      </c>
      <c r="L67" s="42">
        <v>661</v>
      </c>
      <c r="M67" s="42">
        <v>0</v>
      </c>
      <c r="N67" s="42">
        <v>0</v>
      </c>
      <c r="O67" s="42">
        <v>135</v>
      </c>
      <c r="P67" s="499">
        <f t="shared" si="7"/>
        <v>635</v>
      </c>
      <c r="Q67" s="205">
        <v>635</v>
      </c>
      <c r="R67" s="42">
        <v>0</v>
      </c>
      <c r="S67" s="42">
        <v>0</v>
      </c>
      <c r="T67" s="206"/>
      <c r="U67" s="43">
        <f t="shared" si="9"/>
        <v>-168</v>
      </c>
      <c r="V67" s="42">
        <f t="shared" si="10"/>
        <v>-33</v>
      </c>
      <c r="W67" s="42">
        <f t="shared" si="11"/>
        <v>0</v>
      </c>
      <c r="X67" s="42">
        <f t="shared" si="12"/>
        <v>0</v>
      </c>
      <c r="Y67" s="41">
        <f t="shared" si="13"/>
        <v>-135</v>
      </c>
    </row>
    <row r="68" spans="2:25" ht="15" hidden="1" thickBot="1" x14ac:dyDescent="0.25">
      <c r="B68" s="47" t="s">
        <v>480</v>
      </c>
      <c r="C68" s="46" t="s">
        <v>301</v>
      </c>
      <c r="D68" s="560" t="s">
        <v>459</v>
      </c>
      <c r="E68" s="44" t="s">
        <v>479</v>
      </c>
      <c r="F68" s="43">
        <f t="shared" si="8"/>
        <v>1849</v>
      </c>
      <c r="G68" s="42">
        <v>789</v>
      </c>
      <c r="H68" s="42">
        <v>0</v>
      </c>
      <c r="I68" s="42">
        <v>0</v>
      </c>
      <c r="J68" s="42">
        <v>1060</v>
      </c>
      <c r="K68" s="43">
        <f t="shared" si="6"/>
        <v>1841</v>
      </c>
      <c r="L68" s="42">
        <v>781</v>
      </c>
      <c r="M68" s="42">
        <v>0</v>
      </c>
      <c r="N68" s="42">
        <v>0</v>
      </c>
      <c r="O68" s="42">
        <v>1060</v>
      </c>
      <c r="P68" s="499">
        <f t="shared" si="7"/>
        <v>749</v>
      </c>
      <c r="Q68" s="205">
        <v>749</v>
      </c>
      <c r="R68" s="42">
        <v>0</v>
      </c>
      <c r="S68" s="42">
        <v>0</v>
      </c>
      <c r="T68" s="206"/>
      <c r="U68" s="43">
        <f t="shared" si="9"/>
        <v>-1100</v>
      </c>
      <c r="V68" s="42">
        <f t="shared" si="10"/>
        <v>-40</v>
      </c>
      <c r="W68" s="42">
        <f t="shared" si="11"/>
        <v>0</v>
      </c>
      <c r="X68" s="42">
        <f t="shared" si="12"/>
        <v>0</v>
      </c>
      <c r="Y68" s="41">
        <f t="shared" si="13"/>
        <v>-1060</v>
      </c>
    </row>
    <row r="69" spans="2:25" ht="15.75" thickBot="1" x14ac:dyDescent="0.25">
      <c r="B69" s="559" t="s">
        <v>480</v>
      </c>
      <c r="C69" s="558"/>
      <c r="D69" s="557" t="s">
        <v>459</v>
      </c>
      <c r="E69" s="556" t="s">
        <v>479</v>
      </c>
      <c r="F69" s="527">
        <f t="shared" si="8"/>
        <v>4718</v>
      </c>
      <c r="G69" s="555">
        <f>SUM(G66:G68)</f>
        <v>3035</v>
      </c>
      <c r="H69" s="555">
        <f>SUM(H66:H68)</f>
        <v>0</v>
      </c>
      <c r="I69" s="555">
        <f>SUM(I66:I68)</f>
        <v>0</v>
      </c>
      <c r="J69" s="555">
        <f>SUM(J66:J68)</f>
        <v>1683</v>
      </c>
      <c r="K69" s="527">
        <f t="shared" si="6"/>
        <v>4687</v>
      </c>
      <c r="L69" s="555">
        <f>SUM(L66:L68)</f>
        <v>3004</v>
      </c>
      <c r="M69" s="555">
        <f>SUM(M66:M68)</f>
        <v>0</v>
      </c>
      <c r="N69" s="555">
        <f>SUM(N66:N68)</f>
        <v>0</v>
      </c>
      <c r="O69" s="555">
        <f>SUM(O66:O68)</f>
        <v>1683</v>
      </c>
      <c r="P69" s="505">
        <f t="shared" si="7"/>
        <v>3537</v>
      </c>
      <c r="Q69" s="535">
        <f>SUM(Q66:Q68)</f>
        <v>2867</v>
      </c>
      <c r="R69" s="555">
        <f>SUM(R66:R68)</f>
        <v>0</v>
      </c>
      <c r="S69" s="555">
        <f>SUM(S66:S68)</f>
        <v>0</v>
      </c>
      <c r="T69" s="534">
        <f>SUM(T66:T68)</f>
        <v>670</v>
      </c>
      <c r="U69" s="527">
        <f t="shared" si="9"/>
        <v>-1181</v>
      </c>
      <c r="V69" s="553">
        <f t="shared" si="10"/>
        <v>-168</v>
      </c>
      <c r="W69" s="553">
        <f t="shared" si="11"/>
        <v>0</v>
      </c>
      <c r="X69" s="553">
        <f t="shared" si="12"/>
        <v>0</v>
      </c>
      <c r="Y69" s="552">
        <f t="shared" si="13"/>
        <v>-1013</v>
      </c>
    </row>
    <row r="70" spans="2:25" ht="15" hidden="1" thickBot="1" x14ac:dyDescent="0.25">
      <c r="B70" s="47" t="s">
        <v>478</v>
      </c>
      <c r="C70" s="46" t="s">
        <v>307</v>
      </c>
      <c r="D70" s="560" t="s">
        <v>459</v>
      </c>
      <c r="E70" s="44" t="s">
        <v>477</v>
      </c>
      <c r="F70" s="43">
        <f t="shared" si="8"/>
        <v>2518</v>
      </c>
      <c r="G70" s="42">
        <v>2117</v>
      </c>
      <c r="H70" s="42">
        <v>0</v>
      </c>
      <c r="I70" s="42">
        <v>0</v>
      </c>
      <c r="J70" s="42">
        <v>401</v>
      </c>
      <c r="K70" s="43">
        <f t="shared" si="6"/>
        <v>2497</v>
      </c>
      <c r="L70" s="42">
        <v>2096</v>
      </c>
      <c r="M70" s="42">
        <v>0</v>
      </c>
      <c r="N70" s="42">
        <v>0</v>
      </c>
      <c r="O70" s="42">
        <v>401</v>
      </c>
      <c r="P70" s="499">
        <f t="shared" si="7"/>
        <v>2325</v>
      </c>
      <c r="Q70" s="205">
        <v>2011</v>
      </c>
      <c r="R70" s="42">
        <v>0</v>
      </c>
      <c r="S70" s="42">
        <v>0</v>
      </c>
      <c r="T70" s="206">
        <v>314</v>
      </c>
      <c r="U70" s="43">
        <f t="shared" si="9"/>
        <v>-193</v>
      </c>
      <c r="V70" s="42">
        <f t="shared" si="10"/>
        <v>-106</v>
      </c>
      <c r="W70" s="42">
        <f t="shared" si="11"/>
        <v>0</v>
      </c>
      <c r="X70" s="42">
        <f t="shared" si="12"/>
        <v>0</v>
      </c>
      <c r="Y70" s="41">
        <f t="shared" si="13"/>
        <v>-87</v>
      </c>
    </row>
    <row r="71" spans="2:25" ht="26.25" thickBot="1" x14ac:dyDescent="0.25">
      <c r="B71" s="559" t="s">
        <v>478</v>
      </c>
      <c r="C71" s="558"/>
      <c r="D71" s="557" t="s">
        <v>459</v>
      </c>
      <c r="E71" s="556" t="s">
        <v>477</v>
      </c>
      <c r="F71" s="527">
        <f t="shared" si="8"/>
        <v>2518</v>
      </c>
      <c r="G71" s="555">
        <f>SUM(G70)</f>
        <v>2117</v>
      </c>
      <c r="H71" s="555">
        <f>SUM(H70)</f>
        <v>0</v>
      </c>
      <c r="I71" s="555">
        <f>SUM(I70)</f>
        <v>0</v>
      </c>
      <c r="J71" s="555">
        <f>SUM(J70)</f>
        <v>401</v>
      </c>
      <c r="K71" s="527">
        <f t="shared" si="6"/>
        <v>2497</v>
      </c>
      <c r="L71" s="555">
        <f>SUM(L70)</f>
        <v>2096</v>
      </c>
      <c r="M71" s="555">
        <f>SUM(M70)</f>
        <v>0</v>
      </c>
      <c r="N71" s="555">
        <f>SUM(N70)</f>
        <v>0</v>
      </c>
      <c r="O71" s="555">
        <f>SUM(O70)</f>
        <v>401</v>
      </c>
      <c r="P71" s="505">
        <f t="shared" si="7"/>
        <v>2325</v>
      </c>
      <c r="Q71" s="535">
        <f>SUM(Q70)</f>
        <v>2011</v>
      </c>
      <c r="R71" s="555">
        <f>SUM(R70)</f>
        <v>0</v>
      </c>
      <c r="S71" s="555">
        <f>SUM(S70)</f>
        <v>0</v>
      </c>
      <c r="T71" s="534">
        <f>SUM(T70)</f>
        <v>314</v>
      </c>
      <c r="U71" s="527">
        <f t="shared" si="9"/>
        <v>-193</v>
      </c>
      <c r="V71" s="553">
        <f t="shared" si="10"/>
        <v>-106</v>
      </c>
      <c r="W71" s="553">
        <f t="shared" si="11"/>
        <v>0</v>
      </c>
      <c r="X71" s="553">
        <f t="shared" si="12"/>
        <v>0</v>
      </c>
      <c r="Y71" s="552">
        <f t="shared" si="13"/>
        <v>-87</v>
      </c>
    </row>
    <row r="72" spans="2:25" ht="15" hidden="1" thickBot="1" x14ac:dyDescent="0.25">
      <c r="B72" s="47" t="s">
        <v>476</v>
      </c>
      <c r="C72" s="46" t="s">
        <v>307</v>
      </c>
      <c r="D72" s="560" t="s">
        <v>459</v>
      </c>
      <c r="E72" s="44" t="s">
        <v>475</v>
      </c>
      <c r="F72" s="43">
        <f t="shared" si="8"/>
        <v>1554</v>
      </c>
      <c r="G72" s="42">
        <v>1517</v>
      </c>
      <c r="H72" s="42">
        <v>0</v>
      </c>
      <c r="I72" s="42">
        <v>0</v>
      </c>
      <c r="J72" s="42">
        <v>37</v>
      </c>
      <c r="K72" s="43">
        <f t="shared" si="6"/>
        <v>1539</v>
      </c>
      <c r="L72" s="42">
        <v>1502</v>
      </c>
      <c r="M72" s="42">
        <v>0</v>
      </c>
      <c r="N72" s="42">
        <v>0</v>
      </c>
      <c r="O72" s="42">
        <v>37</v>
      </c>
      <c r="P72" s="499">
        <f t="shared" si="7"/>
        <v>1482</v>
      </c>
      <c r="Q72" s="205">
        <v>1427</v>
      </c>
      <c r="R72" s="42">
        <v>0</v>
      </c>
      <c r="S72" s="42">
        <v>0</v>
      </c>
      <c r="T72" s="206">
        <v>55</v>
      </c>
      <c r="U72" s="43">
        <f t="shared" si="9"/>
        <v>-72</v>
      </c>
      <c r="V72" s="42">
        <f t="shared" si="10"/>
        <v>-90</v>
      </c>
      <c r="W72" s="42">
        <f t="shared" si="11"/>
        <v>0</v>
      </c>
      <c r="X72" s="42">
        <f t="shared" si="12"/>
        <v>0</v>
      </c>
      <c r="Y72" s="41">
        <f t="shared" si="13"/>
        <v>18</v>
      </c>
    </row>
    <row r="73" spans="2:25" ht="15" hidden="1" thickBot="1" x14ac:dyDescent="0.25">
      <c r="B73" s="47" t="s">
        <v>476</v>
      </c>
      <c r="C73" s="46" t="s">
        <v>277</v>
      </c>
      <c r="D73" s="560" t="s">
        <v>459</v>
      </c>
      <c r="E73" s="44" t="s">
        <v>475</v>
      </c>
      <c r="F73" s="43">
        <f t="shared" si="8"/>
        <v>383</v>
      </c>
      <c r="G73" s="42">
        <v>370</v>
      </c>
      <c r="H73" s="42">
        <v>0</v>
      </c>
      <c r="I73" s="42">
        <v>0</v>
      </c>
      <c r="J73" s="42">
        <v>13</v>
      </c>
      <c r="K73" s="43">
        <f t="shared" si="6"/>
        <v>379</v>
      </c>
      <c r="L73" s="42">
        <v>366</v>
      </c>
      <c r="M73" s="42">
        <v>0</v>
      </c>
      <c r="N73" s="42">
        <v>0</v>
      </c>
      <c r="O73" s="42">
        <v>13</v>
      </c>
      <c r="P73" s="499">
        <f t="shared" si="7"/>
        <v>348</v>
      </c>
      <c r="Q73" s="205">
        <v>348</v>
      </c>
      <c r="R73" s="42">
        <v>0</v>
      </c>
      <c r="S73" s="42">
        <v>0</v>
      </c>
      <c r="T73" s="206"/>
      <c r="U73" s="43">
        <f t="shared" si="9"/>
        <v>-35</v>
      </c>
      <c r="V73" s="42">
        <f t="shared" si="10"/>
        <v>-22</v>
      </c>
      <c r="W73" s="42">
        <f t="shared" si="11"/>
        <v>0</v>
      </c>
      <c r="X73" s="42">
        <f t="shared" si="12"/>
        <v>0</v>
      </c>
      <c r="Y73" s="41">
        <f t="shared" si="13"/>
        <v>-13</v>
      </c>
    </row>
    <row r="74" spans="2:25" ht="15" hidden="1" thickBot="1" x14ac:dyDescent="0.25">
      <c r="B74" s="47" t="s">
        <v>476</v>
      </c>
      <c r="C74" s="46" t="s">
        <v>301</v>
      </c>
      <c r="D74" s="560" t="s">
        <v>459</v>
      </c>
      <c r="E74" s="44" t="s">
        <v>475</v>
      </c>
      <c r="F74" s="43">
        <f t="shared" si="8"/>
        <v>487</v>
      </c>
      <c r="G74" s="42">
        <v>487</v>
      </c>
      <c r="H74" s="42">
        <v>0</v>
      </c>
      <c r="I74" s="42">
        <v>0</v>
      </c>
      <c r="J74" s="42">
        <v>0</v>
      </c>
      <c r="K74" s="43">
        <f t="shared" si="6"/>
        <v>482</v>
      </c>
      <c r="L74" s="42">
        <v>482</v>
      </c>
      <c r="M74" s="42">
        <v>0</v>
      </c>
      <c r="N74" s="42">
        <v>0</v>
      </c>
      <c r="O74" s="42">
        <v>0</v>
      </c>
      <c r="P74" s="499">
        <f t="shared" si="7"/>
        <v>458</v>
      </c>
      <c r="Q74" s="205">
        <v>458</v>
      </c>
      <c r="R74" s="42">
        <v>0</v>
      </c>
      <c r="S74" s="42">
        <v>0</v>
      </c>
      <c r="T74" s="206"/>
      <c r="U74" s="43">
        <f t="shared" si="9"/>
        <v>-29</v>
      </c>
      <c r="V74" s="42">
        <f t="shared" si="10"/>
        <v>-29</v>
      </c>
      <c r="W74" s="42">
        <f t="shared" si="11"/>
        <v>0</v>
      </c>
      <c r="X74" s="42">
        <f t="shared" si="12"/>
        <v>0</v>
      </c>
      <c r="Y74" s="41">
        <f t="shared" si="13"/>
        <v>0</v>
      </c>
    </row>
    <row r="75" spans="2:25" ht="15.75" thickBot="1" x14ac:dyDescent="0.25">
      <c r="B75" s="559" t="s">
        <v>476</v>
      </c>
      <c r="C75" s="558"/>
      <c r="D75" s="557" t="s">
        <v>459</v>
      </c>
      <c r="E75" s="556" t="s">
        <v>475</v>
      </c>
      <c r="F75" s="527">
        <f t="shared" si="8"/>
        <v>2424</v>
      </c>
      <c r="G75" s="555">
        <f>SUM(G72:G74)</f>
        <v>2374</v>
      </c>
      <c r="H75" s="555">
        <f>SUM(H72:H74)</f>
        <v>0</v>
      </c>
      <c r="I75" s="555">
        <f>SUM(I72:I74)</f>
        <v>0</v>
      </c>
      <c r="J75" s="555">
        <f>SUM(J72:J74)</f>
        <v>50</v>
      </c>
      <c r="K75" s="527">
        <f t="shared" si="6"/>
        <v>2400</v>
      </c>
      <c r="L75" s="555">
        <f>SUM(L72:L74)</f>
        <v>2350</v>
      </c>
      <c r="M75" s="555">
        <f>SUM(M72:M74)</f>
        <v>0</v>
      </c>
      <c r="N75" s="555">
        <f>SUM(N72:N74)</f>
        <v>0</v>
      </c>
      <c r="O75" s="555">
        <f>SUM(O72:O74)</f>
        <v>50</v>
      </c>
      <c r="P75" s="505">
        <f t="shared" si="7"/>
        <v>2288</v>
      </c>
      <c r="Q75" s="535">
        <f>SUM(Q72:Q74)</f>
        <v>2233</v>
      </c>
      <c r="R75" s="555">
        <f>SUM(R72:R74)</f>
        <v>0</v>
      </c>
      <c r="S75" s="555">
        <f>SUM(S72:S74)</f>
        <v>0</v>
      </c>
      <c r="T75" s="555">
        <f>SUM(T72:T74)</f>
        <v>55</v>
      </c>
      <c r="U75" s="527">
        <f t="shared" si="9"/>
        <v>-136</v>
      </c>
      <c r="V75" s="553">
        <f t="shared" si="10"/>
        <v>-141</v>
      </c>
      <c r="W75" s="553">
        <f t="shared" si="11"/>
        <v>0</v>
      </c>
      <c r="X75" s="553">
        <f t="shared" si="12"/>
        <v>0</v>
      </c>
      <c r="Y75" s="552">
        <f t="shared" si="13"/>
        <v>5</v>
      </c>
    </row>
    <row r="76" spans="2:25" ht="15" hidden="1" thickBot="1" x14ac:dyDescent="0.25">
      <c r="B76" s="47" t="s">
        <v>474</v>
      </c>
      <c r="C76" s="46" t="s">
        <v>302</v>
      </c>
      <c r="D76" s="560" t="s">
        <v>459</v>
      </c>
      <c r="E76" s="44" t="s">
        <v>473</v>
      </c>
      <c r="F76" s="43">
        <f t="shared" si="8"/>
        <v>4956</v>
      </c>
      <c r="G76" s="42">
        <v>4264</v>
      </c>
      <c r="H76" s="42">
        <v>0</v>
      </c>
      <c r="I76" s="42">
        <v>0</v>
      </c>
      <c r="J76" s="42">
        <v>692</v>
      </c>
      <c r="K76" s="43">
        <f t="shared" si="6"/>
        <v>4913</v>
      </c>
      <c r="L76" s="42">
        <v>4221</v>
      </c>
      <c r="M76" s="42">
        <v>0</v>
      </c>
      <c r="N76" s="42">
        <v>0</v>
      </c>
      <c r="O76" s="42">
        <v>692</v>
      </c>
      <c r="P76" s="499">
        <f t="shared" si="7"/>
        <v>5133</v>
      </c>
      <c r="Q76" s="205">
        <v>4051</v>
      </c>
      <c r="R76" s="42">
        <v>0</v>
      </c>
      <c r="S76" s="42">
        <v>0</v>
      </c>
      <c r="T76" s="206">
        <v>1082</v>
      </c>
      <c r="U76" s="43">
        <f t="shared" si="9"/>
        <v>177</v>
      </c>
      <c r="V76" s="42">
        <f t="shared" si="10"/>
        <v>-213</v>
      </c>
      <c r="W76" s="42">
        <f t="shared" si="11"/>
        <v>0</v>
      </c>
      <c r="X76" s="42">
        <f t="shared" si="12"/>
        <v>0</v>
      </c>
      <c r="Y76" s="41">
        <f t="shared" si="13"/>
        <v>390</v>
      </c>
    </row>
    <row r="77" spans="2:25" ht="15" hidden="1" thickBot="1" x14ac:dyDescent="0.25">
      <c r="B77" s="47" t="s">
        <v>474</v>
      </c>
      <c r="C77" s="46" t="s">
        <v>277</v>
      </c>
      <c r="D77" s="560" t="s">
        <v>459</v>
      </c>
      <c r="E77" s="44" t="s">
        <v>473</v>
      </c>
      <c r="F77" s="43">
        <f t="shared" si="8"/>
        <v>350</v>
      </c>
      <c r="G77" s="42">
        <v>350</v>
      </c>
      <c r="H77" s="42">
        <v>0</v>
      </c>
      <c r="I77" s="42">
        <v>0</v>
      </c>
      <c r="J77" s="42">
        <v>0</v>
      </c>
      <c r="K77" s="43">
        <f t="shared" si="6"/>
        <v>346</v>
      </c>
      <c r="L77" s="42">
        <v>346</v>
      </c>
      <c r="M77" s="42">
        <v>0</v>
      </c>
      <c r="N77" s="42">
        <v>0</v>
      </c>
      <c r="O77" s="42">
        <v>0</v>
      </c>
      <c r="P77" s="499">
        <f t="shared" si="7"/>
        <v>332</v>
      </c>
      <c r="Q77" s="205">
        <v>332</v>
      </c>
      <c r="R77" s="42">
        <v>0</v>
      </c>
      <c r="S77" s="42">
        <v>0</v>
      </c>
      <c r="T77" s="206"/>
      <c r="U77" s="43">
        <f t="shared" si="9"/>
        <v>-18</v>
      </c>
      <c r="V77" s="42">
        <f t="shared" si="10"/>
        <v>-18</v>
      </c>
      <c r="W77" s="42">
        <f t="shared" si="11"/>
        <v>0</v>
      </c>
      <c r="X77" s="42">
        <f t="shared" si="12"/>
        <v>0</v>
      </c>
      <c r="Y77" s="41">
        <f t="shared" si="13"/>
        <v>0</v>
      </c>
    </row>
    <row r="78" spans="2:25" ht="15" hidden="1" thickBot="1" x14ac:dyDescent="0.25">
      <c r="B78" s="47" t="s">
        <v>474</v>
      </c>
      <c r="C78" s="46" t="s">
        <v>301</v>
      </c>
      <c r="D78" s="560" t="s">
        <v>459</v>
      </c>
      <c r="E78" s="44" t="s">
        <v>473</v>
      </c>
      <c r="F78" s="43">
        <f t="shared" si="8"/>
        <v>740</v>
      </c>
      <c r="G78" s="42">
        <v>740</v>
      </c>
      <c r="H78" s="42">
        <v>0</v>
      </c>
      <c r="I78" s="42">
        <v>0</v>
      </c>
      <c r="J78" s="42">
        <v>0</v>
      </c>
      <c r="K78" s="43">
        <f t="shared" si="6"/>
        <v>733</v>
      </c>
      <c r="L78" s="42">
        <v>733</v>
      </c>
      <c r="M78" s="42">
        <v>0</v>
      </c>
      <c r="N78" s="42">
        <v>0</v>
      </c>
      <c r="O78" s="42">
        <v>0</v>
      </c>
      <c r="P78" s="499">
        <f t="shared" si="7"/>
        <v>703</v>
      </c>
      <c r="Q78" s="205">
        <v>703</v>
      </c>
      <c r="R78" s="42">
        <v>0</v>
      </c>
      <c r="S78" s="42">
        <v>0</v>
      </c>
      <c r="T78" s="206"/>
      <c r="U78" s="43">
        <f t="shared" si="9"/>
        <v>-37</v>
      </c>
      <c r="V78" s="42">
        <f t="shared" si="10"/>
        <v>-37</v>
      </c>
      <c r="W78" s="42">
        <f t="shared" si="11"/>
        <v>0</v>
      </c>
      <c r="X78" s="42">
        <f t="shared" si="12"/>
        <v>0</v>
      </c>
      <c r="Y78" s="41">
        <f t="shared" si="13"/>
        <v>0</v>
      </c>
    </row>
    <row r="79" spans="2:25" ht="26.25" thickBot="1" x14ac:dyDescent="0.25">
      <c r="B79" s="559" t="s">
        <v>474</v>
      </c>
      <c r="C79" s="558"/>
      <c r="D79" s="557" t="s">
        <v>459</v>
      </c>
      <c r="E79" s="556" t="s">
        <v>473</v>
      </c>
      <c r="F79" s="527">
        <f t="shared" si="8"/>
        <v>6046</v>
      </c>
      <c r="G79" s="555">
        <f>SUM(G76:G78)</f>
        <v>5354</v>
      </c>
      <c r="H79" s="555">
        <f>SUM(H76:H78)</f>
        <v>0</v>
      </c>
      <c r="I79" s="555">
        <f>SUM(I76:I78)</f>
        <v>0</v>
      </c>
      <c r="J79" s="555">
        <f>SUM(J76:J78)</f>
        <v>692</v>
      </c>
      <c r="K79" s="527">
        <f t="shared" si="6"/>
        <v>5992</v>
      </c>
      <c r="L79" s="555">
        <f>SUM(L76:L78)</f>
        <v>5300</v>
      </c>
      <c r="M79" s="555">
        <f>SUM(M76:M78)</f>
        <v>0</v>
      </c>
      <c r="N79" s="555">
        <f>SUM(N76:N78)</f>
        <v>0</v>
      </c>
      <c r="O79" s="555">
        <f>SUM(O76:O78)</f>
        <v>692</v>
      </c>
      <c r="P79" s="505">
        <f t="shared" si="7"/>
        <v>6168</v>
      </c>
      <c r="Q79" s="535">
        <f>SUM(Q76:Q78)</f>
        <v>5086</v>
      </c>
      <c r="R79" s="555">
        <f>SUM(R76:R78)</f>
        <v>0</v>
      </c>
      <c r="S79" s="555">
        <f>SUM(S76:S78)</f>
        <v>0</v>
      </c>
      <c r="T79" s="534">
        <f>SUM(T76:T78)</f>
        <v>1082</v>
      </c>
      <c r="U79" s="527">
        <f t="shared" si="9"/>
        <v>122</v>
      </c>
      <c r="V79" s="553">
        <f t="shared" si="10"/>
        <v>-268</v>
      </c>
      <c r="W79" s="553">
        <f t="shared" si="11"/>
        <v>0</v>
      </c>
      <c r="X79" s="553">
        <f t="shared" si="12"/>
        <v>0</v>
      </c>
      <c r="Y79" s="552">
        <f t="shared" si="13"/>
        <v>390</v>
      </c>
    </row>
    <row r="80" spans="2:25" ht="15" hidden="1" thickBot="1" x14ac:dyDescent="0.25">
      <c r="B80" s="47" t="s">
        <v>472</v>
      </c>
      <c r="C80" s="46" t="s">
        <v>307</v>
      </c>
      <c r="D80" s="560" t="s">
        <v>459</v>
      </c>
      <c r="E80" s="44" t="s">
        <v>471</v>
      </c>
      <c r="F80" s="43">
        <f t="shared" ref="F80:F99" si="14">SUM(G80:J80)</f>
        <v>1764</v>
      </c>
      <c r="G80" s="42">
        <v>1755</v>
      </c>
      <c r="H80" s="42">
        <v>0</v>
      </c>
      <c r="I80" s="42">
        <v>0</v>
      </c>
      <c r="J80" s="42">
        <v>9</v>
      </c>
      <c r="K80" s="43">
        <f t="shared" si="6"/>
        <v>1164</v>
      </c>
      <c r="L80" s="42">
        <v>1158</v>
      </c>
      <c r="M80" s="42">
        <v>0</v>
      </c>
      <c r="N80" s="42">
        <v>0</v>
      </c>
      <c r="O80" s="42">
        <v>6</v>
      </c>
      <c r="P80" s="499">
        <f t="shared" si="7"/>
        <v>0</v>
      </c>
      <c r="Q80" s="205">
        <v>0</v>
      </c>
      <c r="R80" s="42">
        <v>0</v>
      </c>
      <c r="S80" s="42">
        <v>0</v>
      </c>
      <c r="T80" s="206"/>
      <c r="U80" s="43">
        <f t="shared" ref="U80:U99" si="15">SUM(V80:Y80)</f>
        <v>-1764</v>
      </c>
      <c r="V80" s="42">
        <f t="shared" ref="V80:V99" si="16">Q80-G80</f>
        <v>-1755</v>
      </c>
      <c r="W80" s="42">
        <f t="shared" ref="W80:W99" si="17">R80-H80</f>
        <v>0</v>
      </c>
      <c r="X80" s="42">
        <f t="shared" ref="X80:X99" si="18">S80-I80</f>
        <v>0</v>
      </c>
      <c r="Y80" s="41">
        <f t="shared" ref="Y80:Y99" si="19">T80-J80</f>
        <v>-9</v>
      </c>
    </row>
    <row r="81" spans="2:25" ht="15" hidden="1" thickBot="1" x14ac:dyDescent="0.25">
      <c r="B81" s="47" t="s">
        <v>472</v>
      </c>
      <c r="C81" s="46" t="s">
        <v>302</v>
      </c>
      <c r="D81" s="560" t="s">
        <v>459</v>
      </c>
      <c r="E81" s="44" t="s">
        <v>471</v>
      </c>
      <c r="F81" s="43">
        <f t="shared" si="14"/>
        <v>3302</v>
      </c>
      <c r="G81" s="42">
        <v>1985</v>
      </c>
      <c r="H81" s="42">
        <v>0</v>
      </c>
      <c r="I81" s="42">
        <v>0</v>
      </c>
      <c r="J81" s="42">
        <v>1317</v>
      </c>
      <c r="K81" s="43">
        <f t="shared" ref="K81:K99" si="20">SUM(L81:O81)</f>
        <v>2289</v>
      </c>
      <c r="L81" s="42">
        <v>1310</v>
      </c>
      <c r="M81" s="42">
        <v>0</v>
      </c>
      <c r="N81" s="42">
        <v>0</v>
      </c>
      <c r="O81" s="42">
        <v>979</v>
      </c>
      <c r="P81" s="499">
        <f t="shared" ref="P81:P99" si="21">SUM(Q81:T81)</f>
        <v>0</v>
      </c>
      <c r="Q81" s="205">
        <v>0</v>
      </c>
      <c r="R81" s="42">
        <v>0</v>
      </c>
      <c r="S81" s="42">
        <v>0</v>
      </c>
      <c r="T81" s="206"/>
      <c r="U81" s="43">
        <f t="shared" si="15"/>
        <v>-3302</v>
      </c>
      <c r="V81" s="42">
        <f t="shared" si="16"/>
        <v>-1985</v>
      </c>
      <c r="W81" s="42">
        <f t="shared" si="17"/>
        <v>0</v>
      </c>
      <c r="X81" s="42">
        <f t="shared" si="18"/>
        <v>0</v>
      </c>
      <c r="Y81" s="41">
        <f t="shared" si="19"/>
        <v>-1317</v>
      </c>
    </row>
    <row r="82" spans="2:25" ht="15" hidden="1" thickBot="1" x14ac:dyDescent="0.25">
      <c r="B82" s="47" t="s">
        <v>472</v>
      </c>
      <c r="C82" s="46" t="s">
        <v>277</v>
      </c>
      <c r="D82" s="560" t="s">
        <v>459</v>
      </c>
      <c r="E82" s="44" t="s">
        <v>471</v>
      </c>
      <c r="F82" s="43">
        <f t="shared" si="14"/>
        <v>664</v>
      </c>
      <c r="G82" s="42">
        <v>647</v>
      </c>
      <c r="H82" s="42">
        <v>0</v>
      </c>
      <c r="I82" s="42">
        <v>0</v>
      </c>
      <c r="J82" s="42">
        <v>17</v>
      </c>
      <c r="K82" s="43">
        <f t="shared" si="20"/>
        <v>441</v>
      </c>
      <c r="L82" s="42">
        <v>427</v>
      </c>
      <c r="M82" s="42">
        <v>0</v>
      </c>
      <c r="N82" s="42">
        <v>0</v>
      </c>
      <c r="O82" s="42">
        <v>14</v>
      </c>
      <c r="P82" s="499">
        <f t="shared" si="21"/>
        <v>0</v>
      </c>
      <c r="Q82" s="205">
        <v>0</v>
      </c>
      <c r="R82" s="42">
        <v>0</v>
      </c>
      <c r="S82" s="42">
        <v>0</v>
      </c>
      <c r="T82" s="206"/>
      <c r="U82" s="43">
        <f t="shared" si="15"/>
        <v>-664</v>
      </c>
      <c r="V82" s="42">
        <f t="shared" si="16"/>
        <v>-647</v>
      </c>
      <c r="W82" s="42">
        <f t="shared" si="17"/>
        <v>0</v>
      </c>
      <c r="X82" s="42">
        <f t="shared" si="18"/>
        <v>0</v>
      </c>
      <c r="Y82" s="41">
        <f t="shared" si="19"/>
        <v>-17</v>
      </c>
    </row>
    <row r="83" spans="2:25" ht="15.75" thickBot="1" x14ac:dyDescent="0.25">
      <c r="B83" s="559" t="s">
        <v>472</v>
      </c>
      <c r="C83" s="558"/>
      <c r="D83" s="557" t="s">
        <v>459</v>
      </c>
      <c r="E83" s="556" t="s">
        <v>471</v>
      </c>
      <c r="F83" s="527">
        <f t="shared" si="14"/>
        <v>5730</v>
      </c>
      <c r="G83" s="555">
        <f>SUM(G80:G82)</f>
        <v>4387</v>
      </c>
      <c r="H83" s="555">
        <f>SUM(H80:H82)</f>
        <v>0</v>
      </c>
      <c r="I83" s="555">
        <f>SUM(I80:I82)</f>
        <v>0</v>
      </c>
      <c r="J83" s="555">
        <f>SUM(J80:J82)</f>
        <v>1343</v>
      </c>
      <c r="K83" s="527">
        <f t="shared" si="20"/>
        <v>3894</v>
      </c>
      <c r="L83" s="555">
        <f>SUM(L80:L82)</f>
        <v>2895</v>
      </c>
      <c r="M83" s="555">
        <f>SUM(M80:M82)</f>
        <v>0</v>
      </c>
      <c r="N83" s="555">
        <f>SUM(N80:N82)</f>
        <v>0</v>
      </c>
      <c r="O83" s="555">
        <f>SUM(O80:O82)</f>
        <v>999</v>
      </c>
      <c r="P83" s="505">
        <f t="shared" si="21"/>
        <v>0</v>
      </c>
      <c r="Q83" s="535">
        <f>SUM(Q80:Q82)</f>
        <v>0</v>
      </c>
      <c r="R83" s="555">
        <f>SUM(R80:R82)</f>
        <v>0</v>
      </c>
      <c r="S83" s="555">
        <f>SUM(S80:S82)</f>
        <v>0</v>
      </c>
      <c r="T83" s="534">
        <f>SUM(T80:T82)</f>
        <v>0</v>
      </c>
      <c r="U83" s="527">
        <f t="shared" si="15"/>
        <v>-5730</v>
      </c>
      <c r="V83" s="553">
        <f t="shared" si="16"/>
        <v>-4387</v>
      </c>
      <c r="W83" s="553">
        <f t="shared" si="17"/>
        <v>0</v>
      </c>
      <c r="X83" s="553">
        <f t="shared" si="18"/>
        <v>0</v>
      </c>
      <c r="Y83" s="552">
        <f t="shared" si="19"/>
        <v>-1343</v>
      </c>
    </row>
    <row r="84" spans="2:25" ht="15" hidden="1" thickBot="1" x14ac:dyDescent="0.25">
      <c r="B84" s="47" t="s">
        <v>470</v>
      </c>
      <c r="C84" s="46" t="s">
        <v>326</v>
      </c>
      <c r="D84" s="560" t="s">
        <v>459</v>
      </c>
      <c r="E84" s="44" t="s">
        <v>469</v>
      </c>
      <c r="F84" s="43">
        <f t="shared" si="14"/>
        <v>1138</v>
      </c>
      <c r="G84" s="42">
        <v>1061</v>
      </c>
      <c r="H84" s="42">
        <v>0</v>
      </c>
      <c r="I84" s="42">
        <v>0</v>
      </c>
      <c r="J84" s="42">
        <v>77</v>
      </c>
      <c r="K84" s="43">
        <f t="shared" si="20"/>
        <v>1127</v>
      </c>
      <c r="L84" s="42">
        <v>1050</v>
      </c>
      <c r="M84" s="42">
        <v>0</v>
      </c>
      <c r="N84" s="42">
        <v>0</v>
      </c>
      <c r="O84" s="42">
        <v>77</v>
      </c>
      <c r="P84" s="499">
        <f t="shared" si="21"/>
        <v>1095</v>
      </c>
      <c r="Q84" s="205">
        <f>1008-3</f>
        <v>1005</v>
      </c>
      <c r="R84" s="42">
        <v>0</v>
      </c>
      <c r="S84" s="42">
        <v>0</v>
      </c>
      <c r="T84" s="206">
        <v>90</v>
      </c>
      <c r="U84" s="43">
        <f t="shared" si="15"/>
        <v>-43</v>
      </c>
      <c r="V84" s="42">
        <f t="shared" si="16"/>
        <v>-56</v>
      </c>
      <c r="W84" s="42">
        <f t="shared" si="17"/>
        <v>0</v>
      </c>
      <c r="X84" s="42">
        <f t="shared" si="18"/>
        <v>0</v>
      </c>
      <c r="Y84" s="41">
        <f t="shared" si="19"/>
        <v>13</v>
      </c>
    </row>
    <row r="85" spans="2:25" ht="15.75" thickBot="1" x14ac:dyDescent="0.25">
      <c r="B85" s="559" t="s">
        <v>470</v>
      </c>
      <c r="C85" s="558"/>
      <c r="D85" s="557" t="s">
        <v>459</v>
      </c>
      <c r="E85" s="556" t="s">
        <v>469</v>
      </c>
      <c r="F85" s="527">
        <f t="shared" si="14"/>
        <v>1138</v>
      </c>
      <c r="G85" s="555">
        <f>SUM(G84)</f>
        <v>1061</v>
      </c>
      <c r="H85" s="555">
        <f>SUM(H84)</f>
        <v>0</v>
      </c>
      <c r="I85" s="555">
        <f>SUM(I84)</f>
        <v>0</v>
      </c>
      <c r="J85" s="555">
        <f>SUM(J84)</f>
        <v>77</v>
      </c>
      <c r="K85" s="527">
        <f t="shared" si="20"/>
        <v>1127</v>
      </c>
      <c r="L85" s="555">
        <f>SUM(L84)</f>
        <v>1050</v>
      </c>
      <c r="M85" s="555">
        <f>SUM(M84)</f>
        <v>0</v>
      </c>
      <c r="N85" s="555">
        <f>SUM(N84)</f>
        <v>0</v>
      </c>
      <c r="O85" s="555">
        <f>SUM(O84)</f>
        <v>77</v>
      </c>
      <c r="P85" s="505">
        <f t="shared" si="21"/>
        <v>1095</v>
      </c>
      <c r="Q85" s="535">
        <f>SUM(Q84)</f>
        <v>1005</v>
      </c>
      <c r="R85" s="555">
        <f>SUM(R84)</f>
        <v>0</v>
      </c>
      <c r="S85" s="555">
        <f>SUM(S84)</f>
        <v>0</v>
      </c>
      <c r="T85" s="534">
        <f>SUM(T84)</f>
        <v>90</v>
      </c>
      <c r="U85" s="527">
        <f t="shared" si="15"/>
        <v>-43</v>
      </c>
      <c r="V85" s="553">
        <f t="shared" si="16"/>
        <v>-56</v>
      </c>
      <c r="W85" s="553">
        <f t="shared" si="17"/>
        <v>0</v>
      </c>
      <c r="X85" s="553">
        <f t="shared" si="18"/>
        <v>0</v>
      </c>
      <c r="Y85" s="552">
        <f t="shared" si="19"/>
        <v>13</v>
      </c>
    </row>
    <row r="86" spans="2:25" ht="15" hidden="1" thickBot="1" x14ac:dyDescent="0.25">
      <c r="B86" s="47" t="s">
        <v>468</v>
      </c>
      <c r="C86" s="46" t="s">
        <v>307</v>
      </c>
      <c r="D86" s="560" t="s">
        <v>459</v>
      </c>
      <c r="E86" s="44" t="s">
        <v>467</v>
      </c>
      <c r="F86" s="43">
        <f t="shared" si="14"/>
        <v>1576</v>
      </c>
      <c r="G86" s="42">
        <v>1576</v>
      </c>
      <c r="H86" s="42">
        <v>0</v>
      </c>
      <c r="I86" s="42">
        <v>0</v>
      </c>
      <c r="J86" s="42">
        <v>0</v>
      </c>
      <c r="K86" s="43">
        <f t="shared" si="20"/>
        <v>1560</v>
      </c>
      <c r="L86" s="42">
        <v>1560</v>
      </c>
      <c r="M86" s="42">
        <v>0</v>
      </c>
      <c r="N86" s="42">
        <v>0</v>
      </c>
      <c r="O86" s="42">
        <v>0</v>
      </c>
      <c r="P86" s="499">
        <f t="shared" si="21"/>
        <v>4581</v>
      </c>
      <c r="Q86" s="205">
        <v>3880</v>
      </c>
      <c r="R86" s="42">
        <v>0</v>
      </c>
      <c r="S86" s="42">
        <v>0</v>
      </c>
      <c r="T86" s="206">
        <v>701</v>
      </c>
      <c r="U86" s="43">
        <f t="shared" si="15"/>
        <v>3005</v>
      </c>
      <c r="V86" s="42">
        <f t="shared" si="16"/>
        <v>2304</v>
      </c>
      <c r="W86" s="42">
        <f t="shared" si="17"/>
        <v>0</v>
      </c>
      <c r="X86" s="42">
        <f t="shared" si="18"/>
        <v>0</v>
      </c>
      <c r="Y86" s="41">
        <f t="shared" si="19"/>
        <v>701</v>
      </c>
    </row>
    <row r="87" spans="2:25" ht="15" hidden="1" thickBot="1" x14ac:dyDescent="0.25">
      <c r="B87" s="47" t="s">
        <v>468</v>
      </c>
      <c r="C87" s="46" t="s">
        <v>302</v>
      </c>
      <c r="D87" s="560" t="s">
        <v>459</v>
      </c>
      <c r="E87" s="44" t="s">
        <v>467</v>
      </c>
      <c r="F87" s="43">
        <f t="shared" si="14"/>
        <v>2320</v>
      </c>
      <c r="G87" s="42">
        <v>1390</v>
      </c>
      <c r="H87" s="42">
        <v>0</v>
      </c>
      <c r="I87" s="42">
        <v>0</v>
      </c>
      <c r="J87" s="42">
        <v>930</v>
      </c>
      <c r="K87" s="43">
        <f t="shared" si="20"/>
        <v>2306</v>
      </c>
      <c r="L87" s="42">
        <v>1376</v>
      </c>
      <c r="M87" s="42">
        <v>0</v>
      </c>
      <c r="N87" s="42">
        <v>0</v>
      </c>
      <c r="O87" s="42">
        <v>930</v>
      </c>
      <c r="P87" s="499">
        <f t="shared" si="21"/>
        <v>0</v>
      </c>
      <c r="Q87" s="205">
        <v>0</v>
      </c>
      <c r="R87" s="42">
        <v>0</v>
      </c>
      <c r="S87" s="42">
        <v>0</v>
      </c>
      <c r="T87" s="206"/>
      <c r="U87" s="43">
        <f t="shared" si="15"/>
        <v>-2320</v>
      </c>
      <c r="V87" s="42">
        <f t="shared" si="16"/>
        <v>-1390</v>
      </c>
      <c r="W87" s="42">
        <f t="shared" si="17"/>
        <v>0</v>
      </c>
      <c r="X87" s="42">
        <f t="shared" si="18"/>
        <v>0</v>
      </c>
      <c r="Y87" s="41">
        <f t="shared" si="19"/>
        <v>-930</v>
      </c>
    </row>
    <row r="88" spans="2:25" ht="15" hidden="1" thickBot="1" x14ac:dyDescent="0.25">
      <c r="B88" s="47" t="s">
        <v>468</v>
      </c>
      <c r="C88" s="46" t="s">
        <v>326</v>
      </c>
      <c r="D88" s="560" t="s">
        <v>459</v>
      </c>
      <c r="E88" s="44" t="s">
        <v>467</v>
      </c>
      <c r="F88" s="43">
        <f t="shared" si="14"/>
        <v>1251</v>
      </c>
      <c r="G88" s="42">
        <v>1251</v>
      </c>
      <c r="H88" s="42">
        <v>0</v>
      </c>
      <c r="I88" s="42">
        <v>0</v>
      </c>
      <c r="J88" s="42">
        <v>0</v>
      </c>
      <c r="K88" s="43">
        <f t="shared" si="20"/>
        <v>1238</v>
      </c>
      <c r="L88" s="42">
        <v>1238</v>
      </c>
      <c r="M88" s="42">
        <v>0</v>
      </c>
      <c r="N88" s="42">
        <v>0</v>
      </c>
      <c r="O88" s="42">
        <v>0</v>
      </c>
      <c r="P88" s="499">
        <f t="shared" si="21"/>
        <v>0</v>
      </c>
      <c r="Q88" s="205">
        <v>0</v>
      </c>
      <c r="R88" s="42">
        <v>0</v>
      </c>
      <c r="S88" s="42">
        <v>0</v>
      </c>
      <c r="T88" s="206"/>
      <c r="U88" s="43">
        <f t="shared" si="15"/>
        <v>-1251</v>
      </c>
      <c r="V88" s="42">
        <f t="shared" si="16"/>
        <v>-1251</v>
      </c>
      <c r="W88" s="42">
        <f t="shared" si="17"/>
        <v>0</v>
      </c>
      <c r="X88" s="42">
        <f t="shared" si="18"/>
        <v>0</v>
      </c>
      <c r="Y88" s="41">
        <f t="shared" si="19"/>
        <v>0</v>
      </c>
    </row>
    <row r="89" spans="2:25" ht="15" hidden="1" thickBot="1" x14ac:dyDescent="0.25">
      <c r="B89" s="47" t="s">
        <v>468</v>
      </c>
      <c r="C89" s="46" t="s">
        <v>277</v>
      </c>
      <c r="D89" s="560" t="s">
        <v>459</v>
      </c>
      <c r="E89" s="44" t="s">
        <v>467</v>
      </c>
      <c r="F89" s="43">
        <f t="shared" si="14"/>
        <v>232</v>
      </c>
      <c r="G89" s="42">
        <v>232</v>
      </c>
      <c r="H89" s="42">
        <v>0</v>
      </c>
      <c r="I89" s="42">
        <v>0</v>
      </c>
      <c r="J89" s="42">
        <v>0</v>
      </c>
      <c r="K89" s="43">
        <f t="shared" si="20"/>
        <v>230</v>
      </c>
      <c r="L89" s="42">
        <v>230</v>
      </c>
      <c r="M89" s="42">
        <v>0</v>
      </c>
      <c r="N89" s="42">
        <v>0</v>
      </c>
      <c r="O89" s="42">
        <v>0</v>
      </c>
      <c r="P89" s="499">
        <f t="shared" si="21"/>
        <v>312</v>
      </c>
      <c r="Q89" s="205">
        <v>312</v>
      </c>
      <c r="R89" s="42">
        <v>0</v>
      </c>
      <c r="S89" s="42">
        <v>0</v>
      </c>
      <c r="T89" s="206"/>
      <c r="U89" s="43">
        <f t="shared" si="15"/>
        <v>80</v>
      </c>
      <c r="V89" s="42">
        <f t="shared" si="16"/>
        <v>80</v>
      </c>
      <c r="W89" s="42">
        <f t="shared" si="17"/>
        <v>0</v>
      </c>
      <c r="X89" s="42">
        <f t="shared" si="18"/>
        <v>0</v>
      </c>
      <c r="Y89" s="41">
        <f t="shared" si="19"/>
        <v>0</v>
      </c>
    </row>
    <row r="90" spans="2:25" ht="15" hidden="1" thickBot="1" x14ac:dyDescent="0.25">
      <c r="B90" s="47" t="s">
        <v>468</v>
      </c>
      <c r="C90" s="46" t="s">
        <v>301</v>
      </c>
      <c r="D90" s="560" t="s">
        <v>459</v>
      </c>
      <c r="E90" s="44" t="s">
        <v>467</v>
      </c>
      <c r="F90" s="43">
        <f t="shared" si="14"/>
        <v>185</v>
      </c>
      <c r="G90" s="42">
        <v>185</v>
      </c>
      <c r="H90" s="42">
        <v>0</v>
      </c>
      <c r="I90" s="42">
        <v>0</v>
      </c>
      <c r="J90" s="42">
        <v>0</v>
      </c>
      <c r="K90" s="43">
        <f t="shared" si="20"/>
        <v>183</v>
      </c>
      <c r="L90" s="42">
        <v>183</v>
      </c>
      <c r="M90" s="42">
        <v>0</v>
      </c>
      <c r="N90" s="42">
        <v>0</v>
      </c>
      <c r="O90" s="42">
        <v>0</v>
      </c>
      <c r="P90" s="499">
        <f t="shared" si="21"/>
        <v>210</v>
      </c>
      <c r="Q90" s="205">
        <v>210</v>
      </c>
      <c r="R90" s="42">
        <v>0</v>
      </c>
      <c r="S90" s="42">
        <v>0</v>
      </c>
      <c r="T90" s="206"/>
      <c r="U90" s="43">
        <f t="shared" si="15"/>
        <v>25</v>
      </c>
      <c r="V90" s="42">
        <f t="shared" si="16"/>
        <v>25</v>
      </c>
      <c r="W90" s="42">
        <f t="shared" si="17"/>
        <v>0</v>
      </c>
      <c r="X90" s="42">
        <f t="shared" si="18"/>
        <v>0</v>
      </c>
      <c r="Y90" s="41">
        <f t="shared" si="19"/>
        <v>0</v>
      </c>
    </row>
    <row r="91" spans="2:25" ht="26.25" thickBot="1" x14ac:dyDescent="0.25">
      <c r="B91" s="559" t="s">
        <v>468</v>
      </c>
      <c r="C91" s="558"/>
      <c r="D91" s="557" t="s">
        <v>459</v>
      </c>
      <c r="E91" s="556" t="s">
        <v>467</v>
      </c>
      <c r="F91" s="527">
        <f t="shared" si="14"/>
        <v>5564</v>
      </c>
      <c r="G91" s="555">
        <f>SUM(G86:G90)</f>
        <v>4634</v>
      </c>
      <c r="H91" s="555">
        <f>SUM(H86:H90)</f>
        <v>0</v>
      </c>
      <c r="I91" s="555">
        <f>SUM(I86:I90)</f>
        <v>0</v>
      </c>
      <c r="J91" s="555">
        <f>SUM(J86:J90)</f>
        <v>930</v>
      </c>
      <c r="K91" s="527">
        <f t="shared" si="20"/>
        <v>5517</v>
      </c>
      <c r="L91" s="555">
        <f>SUM(L86:L90)</f>
        <v>4587</v>
      </c>
      <c r="M91" s="555">
        <f>SUM(M86:M90)</f>
        <v>0</v>
      </c>
      <c r="N91" s="555">
        <f>SUM(N86:N90)</f>
        <v>0</v>
      </c>
      <c r="O91" s="555">
        <f>SUM(O86:O90)</f>
        <v>930</v>
      </c>
      <c r="P91" s="505">
        <f t="shared" si="21"/>
        <v>5103</v>
      </c>
      <c r="Q91" s="535">
        <f>SUM(Q86:Q90)</f>
        <v>4402</v>
      </c>
      <c r="R91" s="555">
        <f>SUM(R86:R90)</f>
        <v>0</v>
      </c>
      <c r="S91" s="555">
        <f>SUM(S86:S90)</f>
        <v>0</v>
      </c>
      <c r="T91" s="534">
        <f>SUM(T86:T90)</f>
        <v>701</v>
      </c>
      <c r="U91" s="527">
        <f t="shared" si="15"/>
        <v>-461</v>
      </c>
      <c r="V91" s="553">
        <f t="shared" si="16"/>
        <v>-232</v>
      </c>
      <c r="W91" s="553">
        <f t="shared" si="17"/>
        <v>0</v>
      </c>
      <c r="X91" s="553">
        <f t="shared" si="18"/>
        <v>0</v>
      </c>
      <c r="Y91" s="552">
        <f t="shared" si="19"/>
        <v>-229</v>
      </c>
    </row>
    <row r="92" spans="2:25" ht="15" hidden="1" thickBot="1" x14ac:dyDescent="0.25">
      <c r="B92" s="47" t="s">
        <v>466</v>
      </c>
      <c r="C92" s="46" t="s">
        <v>290</v>
      </c>
      <c r="D92" s="560" t="s">
        <v>459</v>
      </c>
      <c r="E92" s="44" t="s">
        <v>465</v>
      </c>
      <c r="F92" s="43">
        <f t="shared" si="14"/>
        <v>146</v>
      </c>
      <c r="G92" s="42">
        <v>0</v>
      </c>
      <c r="H92" s="42">
        <v>0</v>
      </c>
      <c r="I92" s="42">
        <v>0</v>
      </c>
      <c r="J92" s="42">
        <v>146</v>
      </c>
      <c r="K92" s="43">
        <f t="shared" si="20"/>
        <v>146</v>
      </c>
      <c r="L92" s="42">
        <v>0</v>
      </c>
      <c r="M92" s="42">
        <v>0</v>
      </c>
      <c r="N92" s="42">
        <v>0</v>
      </c>
      <c r="O92" s="42">
        <v>146</v>
      </c>
      <c r="P92" s="499">
        <f t="shared" si="21"/>
        <v>85</v>
      </c>
      <c r="Q92" s="205">
        <v>0</v>
      </c>
      <c r="R92" s="42">
        <v>0</v>
      </c>
      <c r="S92" s="42">
        <v>0</v>
      </c>
      <c r="T92" s="206">
        <v>85</v>
      </c>
      <c r="U92" s="43">
        <f t="shared" si="15"/>
        <v>-61</v>
      </c>
      <c r="V92" s="42">
        <f t="shared" si="16"/>
        <v>0</v>
      </c>
      <c r="W92" s="42">
        <f t="shared" si="17"/>
        <v>0</v>
      </c>
      <c r="X92" s="42">
        <f t="shared" si="18"/>
        <v>0</v>
      </c>
      <c r="Y92" s="41">
        <f t="shared" si="19"/>
        <v>-61</v>
      </c>
    </row>
    <row r="93" spans="2:25" ht="15.75" thickBot="1" x14ac:dyDescent="0.25">
      <c r="B93" s="559" t="s">
        <v>466</v>
      </c>
      <c r="C93" s="558"/>
      <c r="D93" s="557" t="s">
        <v>459</v>
      </c>
      <c r="E93" s="556" t="s">
        <v>465</v>
      </c>
      <c r="F93" s="43">
        <f t="shared" si="14"/>
        <v>146</v>
      </c>
      <c r="G93" s="555">
        <f>SUM(G92)</f>
        <v>0</v>
      </c>
      <c r="H93" s="555">
        <f>SUM(H92)</f>
        <v>0</v>
      </c>
      <c r="I93" s="555">
        <f>SUM(I92)</f>
        <v>0</v>
      </c>
      <c r="J93" s="555">
        <f>SUM(J92)</f>
        <v>146</v>
      </c>
      <c r="K93" s="527">
        <f t="shared" si="20"/>
        <v>146</v>
      </c>
      <c r="L93" s="555">
        <f>SUM(L92)</f>
        <v>0</v>
      </c>
      <c r="M93" s="555">
        <f>SUM(M92)</f>
        <v>0</v>
      </c>
      <c r="N93" s="555">
        <f>SUM(N92)</f>
        <v>0</v>
      </c>
      <c r="O93" s="555">
        <f>SUM(O92)</f>
        <v>146</v>
      </c>
      <c r="P93" s="527">
        <f t="shared" si="21"/>
        <v>85</v>
      </c>
      <c r="Q93" s="555">
        <f>SUM(Q92)</f>
        <v>0</v>
      </c>
      <c r="R93" s="555">
        <f>SUM(R92)</f>
        <v>0</v>
      </c>
      <c r="S93" s="555">
        <f>SUM(S92)</f>
        <v>0</v>
      </c>
      <c r="T93" s="534">
        <f>SUM(T92)</f>
        <v>85</v>
      </c>
      <c r="U93" s="527">
        <f t="shared" si="15"/>
        <v>-61</v>
      </c>
      <c r="V93" s="553">
        <f t="shared" si="16"/>
        <v>0</v>
      </c>
      <c r="W93" s="553">
        <f t="shared" si="17"/>
        <v>0</v>
      </c>
      <c r="X93" s="553">
        <f t="shared" si="18"/>
        <v>0</v>
      </c>
      <c r="Y93" s="552">
        <f t="shared" si="19"/>
        <v>-61</v>
      </c>
    </row>
    <row r="94" spans="2:25" ht="15" hidden="1" thickBot="1" x14ac:dyDescent="0.25">
      <c r="B94" s="47" t="s">
        <v>464</v>
      </c>
      <c r="C94" s="46" t="s">
        <v>290</v>
      </c>
      <c r="D94" s="560" t="s">
        <v>459</v>
      </c>
      <c r="E94" s="44" t="s">
        <v>463</v>
      </c>
      <c r="F94" s="43">
        <f t="shared" si="14"/>
        <v>151</v>
      </c>
      <c r="G94" s="42">
        <v>120</v>
      </c>
      <c r="H94" s="42">
        <v>0</v>
      </c>
      <c r="I94" s="42">
        <v>0</v>
      </c>
      <c r="J94" s="42">
        <v>31</v>
      </c>
      <c r="K94" s="43">
        <f t="shared" si="20"/>
        <v>150</v>
      </c>
      <c r="L94" s="42">
        <v>119</v>
      </c>
      <c r="M94" s="42">
        <v>0</v>
      </c>
      <c r="N94" s="42">
        <v>0</v>
      </c>
      <c r="O94" s="42">
        <v>31</v>
      </c>
      <c r="P94" s="43">
        <f t="shared" si="21"/>
        <v>141</v>
      </c>
      <c r="Q94" s="42">
        <f>114-4</f>
        <v>110</v>
      </c>
      <c r="R94" s="42">
        <v>0</v>
      </c>
      <c r="S94" s="42">
        <v>0</v>
      </c>
      <c r="T94" s="206">
        <v>31</v>
      </c>
      <c r="U94" s="43">
        <f t="shared" si="15"/>
        <v>-10</v>
      </c>
      <c r="V94" s="42">
        <f t="shared" si="16"/>
        <v>-10</v>
      </c>
      <c r="W94" s="42">
        <f t="shared" si="17"/>
        <v>0</v>
      </c>
      <c r="X94" s="42">
        <f t="shared" si="18"/>
        <v>0</v>
      </c>
      <c r="Y94" s="41">
        <f t="shared" si="19"/>
        <v>0</v>
      </c>
    </row>
    <row r="95" spans="2:25" ht="15.75" thickBot="1" x14ac:dyDescent="0.25">
      <c r="B95" s="559" t="s">
        <v>464</v>
      </c>
      <c r="C95" s="558"/>
      <c r="D95" s="557" t="s">
        <v>459</v>
      </c>
      <c r="E95" s="556" t="s">
        <v>463</v>
      </c>
      <c r="F95" s="527">
        <f t="shared" si="14"/>
        <v>151</v>
      </c>
      <c r="G95" s="555">
        <f>SUM(G94)</f>
        <v>120</v>
      </c>
      <c r="H95" s="555">
        <f>SUM(H94)</f>
        <v>0</v>
      </c>
      <c r="I95" s="555">
        <f>SUM(I94)</f>
        <v>0</v>
      </c>
      <c r="J95" s="555">
        <f>SUM(J94)</f>
        <v>31</v>
      </c>
      <c r="K95" s="527">
        <f t="shared" si="20"/>
        <v>150</v>
      </c>
      <c r="L95" s="555">
        <f>SUM(L94)</f>
        <v>119</v>
      </c>
      <c r="M95" s="555">
        <f>SUM(M94)</f>
        <v>0</v>
      </c>
      <c r="N95" s="555">
        <f>SUM(N94)</f>
        <v>0</v>
      </c>
      <c r="O95" s="555">
        <f>SUM(O94)</f>
        <v>31</v>
      </c>
      <c r="P95" s="527">
        <f t="shared" si="21"/>
        <v>141</v>
      </c>
      <c r="Q95" s="555">
        <f>SUM(Q94)</f>
        <v>110</v>
      </c>
      <c r="R95" s="555">
        <f>SUM(R94)</f>
        <v>0</v>
      </c>
      <c r="S95" s="555">
        <f>SUM(S94)</f>
        <v>0</v>
      </c>
      <c r="T95" s="534">
        <f>SUM(T94)</f>
        <v>31</v>
      </c>
      <c r="U95" s="527">
        <f t="shared" si="15"/>
        <v>-10</v>
      </c>
      <c r="V95" s="553">
        <f t="shared" si="16"/>
        <v>-10</v>
      </c>
      <c r="W95" s="553">
        <f t="shared" si="17"/>
        <v>0</v>
      </c>
      <c r="X95" s="553">
        <f t="shared" si="18"/>
        <v>0</v>
      </c>
      <c r="Y95" s="552">
        <f t="shared" si="19"/>
        <v>0</v>
      </c>
    </row>
    <row r="96" spans="2:25" ht="15" hidden="1" thickBot="1" x14ac:dyDescent="0.25">
      <c r="B96" s="47" t="s">
        <v>462</v>
      </c>
      <c r="C96" s="46" t="s">
        <v>290</v>
      </c>
      <c r="D96" s="560" t="s">
        <v>459</v>
      </c>
      <c r="E96" s="44" t="s">
        <v>461</v>
      </c>
      <c r="F96" s="43">
        <f t="shared" si="14"/>
        <v>190</v>
      </c>
      <c r="G96" s="42">
        <v>141</v>
      </c>
      <c r="H96" s="42">
        <v>0</v>
      </c>
      <c r="I96" s="42">
        <v>0</v>
      </c>
      <c r="J96" s="42">
        <v>49</v>
      </c>
      <c r="K96" s="43">
        <f t="shared" si="20"/>
        <v>189</v>
      </c>
      <c r="L96" s="42">
        <v>140</v>
      </c>
      <c r="M96" s="42">
        <v>0</v>
      </c>
      <c r="N96" s="42">
        <v>0</v>
      </c>
      <c r="O96" s="42">
        <v>49</v>
      </c>
      <c r="P96" s="43">
        <f t="shared" si="21"/>
        <v>360</v>
      </c>
      <c r="Q96" s="42">
        <f>300-6</f>
        <v>294</v>
      </c>
      <c r="R96" s="42">
        <v>0</v>
      </c>
      <c r="S96" s="42">
        <v>0</v>
      </c>
      <c r="T96" s="206">
        <v>66</v>
      </c>
      <c r="U96" s="43">
        <f t="shared" si="15"/>
        <v>170</v>
      </c>
      <c r="V96" s="42">
        <f t="shared" si="16"/>
        <v>153</v>
      </c>
      <c r="W96" s="42">
        <f t="shared" si="17"/>
        <v>0</v>
      </c>
      <c r="X96" s="42">
        <f t="shared" si="18"/>
        <v>0</v>
      </c>
      <c r="Y96" s="41">
        <f t="shared" si="19"/>
        <v>17</v>
      </c>
    </row>
    <row r="97" spans="2:25" ht="15.75" thickBot="1" x14ac:dyDescent="0.25">
      <c r="B97" s="559" t="s">
        <v>462</v>
      </c>
      <c r="C97" s="558"/>
      <c r="D97" s="557" t="s">
        <v>459</v>
      </c>
      <c r="E97" s="556" t="s">
        <v>461</v>
      </c>
      <c r="F97" s="527">
        <f t="shared" si="14"/>
        <v>190</v>
      </c>
      <c r="G97" s="555">
        <f>SUM(G96)</f>
        <v>141</v>
      </c>
      <c r="H97" s="555">
        <f>SUM(H96)</f>
        <v>0</v>
      </c>
      <c r="I97" s="555">
        <f>SUM(I96)</f>
        <v>0</v>
      </c>
      <c r="J97" s="555">
        <f>SUM(J96)</f>
        <v>49</v>
      </c>
      <c r="K97" s="527">
        <f t="shared" si="20"/>
        <v>189</v>
      </c>
      <c r="L97" s="555">
        <f>SUM(L96)</f>
        <v>140</v>
      </c>
      <c r="M97" s="555">
        <f>SUM(M96)</f>
        <v>0</v>
      </c>
      <c r="N97" s="555">
        <f>SUM(N96)</f>
        <v>0</v>
      </c>
      <c r="O97" s="555">
        <f>SUM(O96)</f>
        <v>49</v>
      </c>
      <c r="P97" s="527">
        <f t="shared" si="21"/>
        <v>360</v>
      </c>
      <c r="Q97" s="555">
        <f>SUM(Q96)</f>
        <v>294</v>
      </c>
      <c r="R97" s="555">
        <f>SUM(R96)</f>
        <v>0</v>
      </c>
      <c r="S97" s="555">
        <f>SUM(S96)</f>
        <v>0</v>
      </c>
      <c r="T97" s="534">
        <f>SUM(T96)</f>
        <v>66</v>
      </c>
      <c r="U97" s="527">
        <f t="shared" si="15"/>
        <v>170</v>
      </c>
      <c r="V97" s="553">
        <f t="shared" si="16"/>
        <v>153</v>
      </c>
      <c r="W97" s="553">
        <f t="shared" si="17"/>
        <v>0</v>
      </c>
      <c r="X97" s="553">
        <f t="shared" si="18"/>
        <v>0</v>
      </c>
      <c r="Y97" s="552">
        <f t="shared" si="19"/>
        <v>17</v>
      </c>
    </row>
    <row r="98" spans="2:25" ht="15" hidden="1" thickBot="1" x14ac:dyDescent="0.25">
      <c r="B98" s="47" t="s">
        <v>460</v>
      </c>
      <c r="C98" s="46" t="s">
        <v>283</v>
      </c>
      <c r="D98" s="560" t="s">
        <v>459</v>
      </c>
      <c r="E98" s="44" t="s">
        <v>458</v>
      </c>
      <c r="F98" s="43">
        <f t="shared" si="14"/>
        <v>495</v>
      </c>
      <c r="G98" s="42">
        <v>490</v>
      </c>
      <c r="H98" s="42">
        <v>0</v>
      </c>
      <c r="I98" s="42">
        <v>0</v>
      </c>
      <c r="J98" s="42">
        <v>5</v>
      </c>
      <c r="K98" s="43">
        <f t="shared" si="20"/>
        <v>490</v>
      </c>
      <c r="L98" s="42">
        <v>485</v>
      </c>
      <c r="M98" s="42">
        <v>0</v>
      </c>
      <c r="N98" s="42">
        <v>0</v>
      </c>
      <c r="O98" s="42">
        <v>5</v>
      </c>
      <c r="P98" s="43">
        <f t="shared" si="21"/>
        <v>469</v>
      </c>
      <c r="Q98" s="42">
        <v>461</v>
      </c>
      <c r="R98" s="42">
        <v>0</v>
      </c>
      <c r="S98" s="42">
        <v>0</v>
      </c>
      <c r="T98" s="206">
        <v>8</v>
      </c>
      <c r="U98" s="43">
        <f t="shared" si="15"/>
        <v>-26</v>
      </c>
      <c r="V98" s="42">
        <f t="shared" si="16"/>
        <v>-29</v>
      </c>
      <c r="W98" s="42">
        <f t="shared" si="17"/>
        <v>0</v>
      </c>
      <c r="X98" s="42">
        <f t="shared" si="18"/>
        <v>0</v>
      </c>
      <c r="Y98" s="41">
        <f t="shared" si="19"/>
        <v>3</v>
      </c>
    </row>
    <row r="99" spans="2:25" ht="15.75" thickBot="1" x14ac:dyDescent="0.25">
      <c r="B99" s="559" t="s">
        <v>460</v>
      </c>
      <c r="C99" s="558"/>
      <c r="D99" s="557" t="s">
        <v>459</v>
      </c>
      <c r="E99" s="556" t="s">
        <v>458</v>
      </c>
      <c r="F99" s="527">
        <f t="shared" si="14"/>
        <v>495</v>
      </c>
      <c r="G99" s="555">
        <f>SUM(G98)</f>
        <v>490</v>
      </c>
      <c r="H99" s="555">
        <f>SUM(H98)</f>
        <v>0</v>
      </c>
      <c r="I99" s="555">
        <f>SUM(I98)</f>
        <v>0</v>
      </c>
      <c r="J99" s="555">
        <f>SUM(J98)</f>
        <v>5</v>
      </c>
      <c r="K99" s="527">
        <f t="shared" si="20"/>
        <v>490</v>
      </c>
      <c r="L99" s="555">
        <f>SUM(L98)</f>
        <v>485</v>
      </c>
      <c r="M99" s="555">
        <f>SUM(M98)</f>
        <v>0</v>
      </c>
      <c r="N99" s="555">
        <f>SUM(N98)</f>
        <v>0</v>
      </c>
      <c r="O99" s="555">
        <f>SUM(O98)</f>
        <v>5</v>
      </c>
      <c r="P99" s="527">
        <f t="shared" si="21"/>
        <v>469</v>
      </c>
      <c r="Q99" s="555">
        <f>SUM(Q98)</f>
        <v>461</v>
      </c>
      <c r="R99" s="555">
        <f>SUM(R98)</f>
        <v>0</v>
      </c>
      <c r="S99" s="555">
        <f>SUM(S98)</f>
        <v>0</v>
      </c>
      <c r="T99" s="534">
        <f>SUM(T98)</f>
        <v>8</v>
      </c>
      <c r="U99" s="527">
        <f t="shared" si="15"/>
        <v>-26</v>
      </c>
      <c r="V99" s="553">
        <f t="shared" si="16"/>
        <v>-29</v>
      </c>
      <c r="W99" s="553">
        <f t="shared" si="17"/>
        <v>0</v>
      </c>
      <c r="X99" s="553">
        <f t="shared" si="18"/>
        <v>0</v>
      </c>
      <c r="Y99" s="552">
        <f t="shared" si="19"/>
        <v>3</v>
      </c>
    </row>
    <row r="100" spans="2:25" ht="15.75" thickBot="1" x14ac:dyDescent="0.25">
      <c r="B100" s="725" t="s">
        <v>270</v>
      </c>
      <c r="C100" s="726"/>
      <c r="D100" s="533"/>
      <c r="E100" s="532" t="s">
        <v>457</v>
      </c>
      <c r="F100" s="553">
        <f t="shared" ref="F100:Y100" si="22">SUM(F17+F20+F26+F33+F39+F42+F45+F50+F56+F58+F62+F65+F69+F71+F75+F79:G79+F83+F85+F91+F93+F95+F97+F99)</f>
        <v>79674</v>
      </c>
      <c r="G100" s="553">
        <f t="shared" si="22"/>
        <v>63719</v>
      </c>
      <c r="H100" s="553">
        <f t="shared" si="22"/>
        <v>0</v>
      </c>
      <c r="I100" s="553">
        <f t="shared" si="22"/>
        <v>0</v>
      </c>
      <c r="J100" s="553">
        <f t="shared" si="22"/>
        <v>15955</v>
      </c>
      <c r="K100" s="553">
        <f t="shared" si="22"/>
        <v>79015.320000000007</v>
      </c>
      <c r="L100" s="553">
        <f t="shared" si="22"/>
        <v>63060</v>
      </c>
      <c r="M100" s="553">
        <f t="shared" si="22"/>
        <v>0</v>
      </c>
      <c r="N100" s="553">
        <f t="shared" si="22"/>
        <v>0</v>
      </c>
      <c r="O100" s="553">
        <f t="shared" si="22"/>
        <v>15955.32</v>
      </c>
      <c r="P100" s="527">
        <f t="shared" si="22"/>
        <v>72811</v>
      </c>
      <c r="Q100" s="553">
        <f t="shared" si="22"/>
        <v>60151</v>
      </c>
      <c r="R100" s="553">
        <f t="shared" si="22"/>
        <v>0</v>
      </c>
      <c r="S100" s="553">
        <f t="shared" si="22"/>
        <v>0</v>
      </c>
      <c r="T100" s="507">
        <f t="shared" si="22"/>
        <v>12660</v>
      </c>
      <c r="U100" s="527">
        <f t="shared" si="22"/>
        <v>-6863</v>
      </c>
      <c r="V100" s="553">
        <f t="shared" si="22"/>
        <v>-3568</v>
      </c>
      <c r="W100" s="553">
        <f t="shared" si="22"/>
        <v>0</v>
      </c>
      <c r="X100" s="553">
        <f t="shared" si="22"/>
        <v>0</v>
      </c>
      <c r="Y100" s="552">
        <f t="shared" si="22"/>
        <v>-3295</v>
      </c>
    </row>
    <row r="101" spans="2:25" hidden="1" x14ac:dyDescent="0.2">
      <c r="Q101" s="40">
        <f>Q99+Q97+Q95+Q93+Q91+Q85+Q83+Q79+Q75+Q71+Q69+Q65+Q62+Q58+Q56+Q50+Q45+Q42+Q39+Q33+Q26+Q20+Q17</f>
        <v>60151</v>
      </c>
    </row>
  </sheetData>
  <mergeCells count="11">
    <mergeCell ref="B100:C100"/>
    <mergeCell ref="F11:J11"/>
    <mergeCell ref="K11:O11"/>
    <mergeCell ref="P11:T11"/>
    <mergeCell ref="U11:Y11"/>
    <mergeCell ref="B12:C12"/>
    <mergeCell ref="G15:J15"/>
    <mergeCell ref="L15:O15"/>
    <mergeCell ref="Q15:T15"/>
    <mergeCell ref="V15:Y15"/>
    <mergeCell ref="R12:T12"/>
  </mergeCells>
  <printOptions horizontalCentered="1"/>
  <pageMargins left="0.23622047244094491" right="0.23622047244094491" top="0.78740157480314965" bottom="0.78740157480314965" header="0.31496062992125984" footer="0.31496062992125984"/>
  <pageSetup paperSize="9" scale="65" firstPageNumber="65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  <ignoredErrors>
    <ignoredError sqref="Q94 Q96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B1:AA62"/>
  <sheetViews>
    <sheetView showGridLines="0" tabSelected="1" topLeftCell="A2" zoomScaleNormal="100" workbookViewId="0">
      <selection activeCell="J29" sqref="J29"/>
    </sheetView>
  </sheetViews>
  <sheetFormatPr defaultRowHeight="12.75" x14ac:dyDescent="0.2"/>
  <cols>
    <col min="1" max="1" width="2.7109375" style="24" customWidth="1"/>
    <col min="2" max="2" width="14.7109375" style="24" hidden="1" customWidth="1"/>
    <col min="3" max="3" width="6.7109375" style="24" hidden="1" customWidth="1"/>
    <col min="4" max="4" width="10.7109375" style="24" hidden="1" customWidth="1"/>
    <col min="5" max="5" width="45.7109375" style="24" customWidth="1"/>
    <col min="6" max="6" width="12.7109375" style="40" customWidth="1"/>
    <col min="7" max="10" width="9.7109375" style="40" customWidth="1"/>
    <col min="11" max="11" width="12.7109375" style="40" customWidth="1"/>
    <col min="12" max="15" width="9.7109375" style="40" customWidth="1"/>
    <col min="16" max="16" width="12.7109375" style="40" customWidth="1"/>
    <col min="17" max="20" width="9.7109375" style="40" customWidth="1"/>
    <col min="21" max="21" width="12.7109375" style="40" hidden="1" customWidth="1"/>
    <col min="22" max="25" width="9.7109375" style="40" hidden="1" customWidth="1"/>
    <col min="26" max="27" width="8.85546875" style="40" customWidth="1"/>
    <col min="28" max="16384" width="9.140625" style="24"/>
  </cols>
  <sheetData>
    <row r="1" spans="2:25" hidden="1" x14ac:dyDescent="0.2"/>
    <row r="2" spans="2:25" ht="21.75" x14ac:dyDescent="0.3">
      <c r="B2" s="69" t="s">
        <v>153</v>
      </c>
      <c r="C2" s="68"/>
      <c r="D2" s="68"/>
      <c r="E2" s="69" t="s">
        <v>153</v>
      </c>
      <c r="F2" s="67"/>
      <c r="G2" s="67"/>
      <c r="H2" s="67"/>
      <c r="I2" s="67"/>
      <c r="J2" s="67"/>
      <c r="K2" s="65"/>
      <c r="L2" s="65"/>
      <c r="M2" s="65"/>
      <c r="N2" s="65"/>
      <c r="O2" s="65"/>
      <c r="P2" s="65"/>
      <c r="Q2" s="65"/>
      <c r="R2" s="65"/>
      <c r="S2" s="65"/>
      <c r="T2" s="65" t="s">
        <v>246</v>
      </c>
      <c r="U2" s="65"/>
      <c r="V2" s="65"/>
      <c r="W2" s="66" t="s">
        <v>456</v>
      </c>
      <c r="X2" s="65"/>
      <c r="Y2" s="65" t="s">
        <v>246</v>
      </c>
    </row>
    <row r="4" spans="2:25" hidden="1" x14ac:dyDescent="0.2"/>
    <row r="5" spans="2:25" ht="15.75" x14ac:dyDescent="0.25">
      <c r="B5" s="64" t="s">
        <v>2</v>
      </c>
      <c r="C5" s="64" t="s">
        <v>374</v>
      </c>
      <c r="D5" s="63"/>
      <c r="E5" s="64" t="s">
        <v>539</v>
      </c>
      <c r="F5" s="64"/>
      <c r="G5" s="63"/>
      <c r="H5" s="62"/>
      <c r="I5" s="61"/>
      <c r="J5" s="61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</row>
    <row r="6" spans="2:25" ht="15.75" x14ac:dyDescent="0.25">
      <c r="B6" s="63"/>
      <c r="C6" s="64" t="s">
        <v>3</v>
      </c>
      <c r="D6" s="63"/>
      <c r="E6" s="63" t="s">
        <v>161</v>
      </c>
      <c r="F6" s="64"/>
      <c r="G6" s="63"/>
      <c r="H6" s="62"/>
      <c r="I6" s="61"/>
      <c r="J6" s="61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</row>
    <row r="8" spans="2:25" ht="18" x14ac:dyDescent="0.25">
      <c r="C8" s="59"/>
      <c r="D8" s="59"/>
      <c r="E8" s="551" t="s">
        <v>455</v>
      </c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</row>
    <row r="9" spans="2:25" hidden="1" x14ac:dyDescent="0.2"/>
    <row r="10" spans="2:25" ht="13.5" thickBot="1" x14ac:dyDescent="0.25">
      <c r="B10" s="57"/>
      <c r="C10" s="57"/>
      <c r="D10" s="57"/>
      <c r="E10" s="57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 t="s">
        <v>4</v>
      </c>
      <c r="U10" s="56"/>
      <c r="V10" s="56"/>
      <c r="W10" s="56"/>
      <c r="X10" s="56"/>
      <c r="Y10" s="56" t="s">
        <v>4</v>
      </c>
    </row>
    <row r="11" spans="2:25" x14ac:dyDescent="0.2">
      <c r="B11" s="248"/>
      <c r="C11" s="250"/>
      <c r="D11" s="248"/>
      <c r="E11" s="248"/>
      <c r="F11" s="727" t="s">
        <v>217</v>
      </c>
      <c r="G11" s="728"/>
      <c r="H11" s="728"/>
      <c r="I11" s="728"/>
      <c r="J11" s="729"/>
      <c r="K11" s="727" t="s">
        <v>372</v>
      </c>
      <c r="L11" s="728"/>
      <c r="M11" s="728"/>
      <c r="N11" s="728"/>
      <c r="O11" s="729"/>
      <c r="P11" s="727" t="s">
        <v>538</v>
      </c>
      <c r="Q11" s="728"/>
      <c r="R11" s="728"/>
      <c r="S11" s="728"/>
      <c r="T11" s="729"/>
      <c r="U11" s="728" t="s">
        <v>5</v>
      </c>
      <c r="V11" s="728"/>
      <c r="W11" s="728"/>
      <c r="X11" s="728"/>
      <c r="Y11" s="729"/>
    </row>
    <row r="12" spans="2:25" ht="18" customHeight="1" x14ac:dyDescent="0.2">
      <c r="B12" s="730" t="s">
        <v>6</v>
      </c>
      <c r="C12" s="731"/>
      <c r="D12" s="525" t="s">
        <v>7</v>
      </c>
      <c r="E12" s="252" t="s">
        <v>8</v>
      </c>
      <c r="F12" s="256"/>
      <c r="G12" s="254" t="s">
        <v>9</v>
      </c>
      <c r="H12" s="256"/>
      <c r="I12" s="256"/>
      <c r="J12" s="256"/>
      <c r="K12" s="255"/>
      <c r="L12" s="254" t="s">
        <v>9</v>
      </c>
      <c r="M12" s="256"/>
      <c r="N12" s="256"/>
      <c r="O12" s="256"/>
      <c r="P12" s="255"/>
      <c r="Q12" s="254" t="s">
        <v>9</v>
      </c>
      <c r="R12" s="735"/>
      <c r="S12" s="735"/>
      <c r="T12" s="736"/>
      <c r="U12" s="256"/>
      <c r="V12" s="254" t="s">
        <v>9</v>
      </c>
      <c r="W12" s="253"/>
      <c r="X12" s="253"/>
      <c r="Y12" s="257"/>
    </row>
    <row r="13" spans="2:25" ht="48" customHeight="1" x14ac:dyDescent="0.2">
      <c r="B13" s="258"/>
      <c r="C13" s="447"/>
      <c r="D13" s="258"/>
      <c r="E13" s="258"/>
      <c r="F13" s="260" t="s">
        <v>10</v>
      </c>
      <c r="G13" s="261" t="s">
        <v>11</v>
      </c>
      <c r="H13" s="261" t="s">
        <v>12</v>
      </c>
      <c r="I13" s="261" t="s">
        <v>13</v>
      </c>
      <c r="J13" s="261" t="s">
        <v>14</v>
      </c>
      <c r="K13" s="260" t="s">
        <v>10</v>
      </c>
      <c r="L13" s="261" t="s">
        <v>11</v>
      </c>
      <c r="M13" s="261" t="s">
        <v>12</v>
      </c>
      <c r="N13" s="261" t="s">
        <v>13</v>
      </c>
      <c r="O13" s="261" t="s">
        <v>14</v>
      </c>
      <c r="P13" s="260" t="s">
        <v>10</v>
      </c>
      <c r="Q13" s="261" t="s">
        <v>11</v>
      </c>
      <c r="R13" s="261" t="s">
        <v>12</v>
      </c>
      <c r="S13" s="261" t="s">
        <v>13</v>
      </c>
      <c r="T13" s="262" t="s">
        <v>14</v>
      </c>
      <c r="U13" s="567" t="s">
        <v>10</v>
      </c>
      <c r="V13" s="261" t="s">
        <v>11</v>
      </c>
      <c r="W13" s="261" t="s">
        <v>12</v>
      </c>
      <c r="X13" s="261" t="s">
        <v>13</v>
      </c>
      <c r="Y13" s="262" t="s">
        <v>14</v>
      </c>
    </row>
    <row r="14" spans="2:25" ht="13.5" thickBot="1" x14ac:dyDescent="0.25">
      <c r="B14" s="263" t="s">
        <v>15</v>
      </c>
      <c r="C14" s="264" t="s">
        <v>16</v>
      </c>
      <c r="D14" s="221"/>
      <c r="E14" s="221"/>
      <c r="F14" s="222"/>
      <c r="G14" s="223" t="s">
        <v>17</v>
      </c>
      <c r="H14" s="223" t="s">
        <v>18</v>
      </c>
      <c r="I14" s="223" t="s">
        <v>19</v>
      </c>
      <c r="J14" s="223" t="s">
        <v>20</v>
      </c>
      <c r="K14" s="222"/>
      <c r="L14" s="223" t="s">
        <v>17</v>
      </c>
      <c r="M14" s="223" t="s">
        <v>18</v>
      </c>
      <c r="N14" s="223" t="s">
        <v>19</v>
      </c>
      <c r="O14" s="223" t="s">
        <v>20</v>
      </c>
      <c r="P14" s="222"/>
      <c r="Q14" s="223" t="s">
        <v>17</v>
      </c>
      <c r="R14" s="223" t="s">
        <v>18</v>
      </c>
      <c r="S14" s="223" t="s">
        <v>19</v>
      </c>
      <c r="T14" s="249" t="s">
        <v>20</v>
      </c>
      <c r="U14" s="296"/>
      <c r="V14" s="223" t="s">
        <v>17</v>
      </c>
      <c r="W14" s="223" t="s">
        <v>18</v>
      </c>
      <c r="X14" s="223" t="s">
        <v>19</v>
      </c>
      <c r="Y14" s="249" t="s">
        <v>20</v>
      </c>
    </row>
    <row r="15" spans="2:25" ht="13.5" thickBot="1" x14ac:dyDescent="0.25">
      <c r="B15" s="265"/>
      <c r="C15" s="266"/>
      <c r="D15" s="265"/>
      <c r="E15" s="265"/>
      <c r="F15" s="267" t="s">
        <v>21</v>
      </c>
      <c r="G15" s="732" t="s">
        <v>21</v>
      </c>
      <c r="H15" s="733"/>
      <c r="I15" s="733"/>
      <c r="J15" s="734"/>
      <c r="K15" s="267" t="s">
        <v>21</v>
      </c>
      <c r="L15" s="732" t="s">
        <v>21</v>
      </c>
      <c r="M15" s="733"/>
      <c r="N15" s="733"/>
      <c r="O15" s="734"/>
      <c r="P15" s="267" t="s">
        <v>21</v>
      </c>
      <c r="Q15" s="732" t="s">
        <v>21</v>
      </c>
      <c r="R15" s="733"/>
      <c r="S15" s="733"/>
      <c r="T15" s="734"/>
      <c r="U15" s="524" t="s">
        <v>21</v>
      </c>
      <c r="V15" s="732" t="s">
        <v>21</v>
      </c>
      <c r="W15" s="733"/>
      <c r="X15" s="733"/>
      <c r="Y15" s="734"/>
    </row>
    <row r="16" spans="2:25" ht="15" hidden="1" thickBot="1" x14ac:dyDescent="0.25">
      <c r="B16" s="47" t="s">
        <v>454</v>
      </c>
      <c r="C16" s="46" t="s">
        <v>362</v>
      </c>
      <c r="D16" s="560" t="s">
        <v>428</v>
      </c>
      <c r="E16" s="44" t="s">
        <v>453</v>
      </c>
      <c r="F16" s="43">
        <f t="shared" ref="F16:F60" si="0">SUM(G16:J16)</f>
        <v>974</v>
      </c>
      <c r="G16" s="42">
        <v>860</v>
      </c>
      <c r="H16" s="42">
        <v>0</v>
      </c>
      <c r="I16" s="42">
        <v>0</v>
      </c>
      <c r="J16" s="42">
        <v>114</v>
      </c>
      <c r="K16" s="43">
        <f>SUM(L16:O16)</f>
        <v>965</v>
      </c>
      <c r="L16" s="42">
        <v>851</v>
      </c>
      <c r="M16" s="42">
        <v>0</v>
      </c>
      <c r="N16" s="42">
        <v>0</v>
      </c>
      <c r="O16" s="42">
        <v>114</v>
      </c>
      <c r="P16" s="43">
        <f>SUM(Q16:T16)</f>
        <v>780</v>
      </c>
      <c r="Q16" s="42">
        <v>780</v>
      </c>
      <c r="R16" s="42">
        <v>0</v>
      </c>
      <c r="S16" s="42">
        <v>0</v>
      </c>
      <c r="T16" s="206"/>
      <c r="U16" s="466">
        <f t="shared" ref="U16:U61" si="1">SUM(P16-F16)</f>
        <v>-194</v>
      </c>
      <c r="V16" s="42">
        <f t="shared" ref="V16:V61" si="2">SUM(Q16-G16)</f>
        <v>-80</v>
      </c>
      <c r="W16" s="42">
        <f t="shared" ref="W16:W61" si="3">SUM(R16-H16)</f>
        <v>0</v>
      </c>
      <c r="X16" s="42">
        <f t="shared" ref="X16:X61" si="4">SUM(S16-I16)</f>
        <v>0</v>
      </c>
      <c r="Y16" s="41">
        <f t="shared" ref="Y16:Y61" si="5">SUM(T16-J16)</f>
        <v>-114</v>
      </c>
    </row>
    <row r="17" spans="2:25" ht="15" hidden="1" thickBot="1" x14ac:dyDescent="0.25">
      <c r="B17" s="47" t="s">
        <v>454</v>
      </c>
      <c r="C17" s="46" t="s">
        <v>349</v>
      </c>
      <c r="D17" s="560" t="s">
        <v>428</v>
      </c>
      <c r="E17" s="44" t="s">
        <v>453</v>
      </c>
      <c r="F17" s="43">
        <f t="shared" si="0"/>
        <v>1577</v>
      </c>
      <c r="G17" s="42">
        <v>1000</v>
      </c>
      <c r="H17" s="42">
        <v>0</v>
      </c>
      <c r="I17" s="42">
        <v>0</v>
      </c>
      <c r="J17" s="42">
        <v>577</v>
      </c>
      <c r="K17" s="43">
        <f t="shared" ref="K17:K60" si="6">SUM(L17:O17)</f>
        <v>1567</v>
      </c>
      <c r="L17" s="42">
        <v>990</v>
      </c>
      <c r="M17" s="42">
        <v>0</v>
      </c>
      <c r="N17" s="42">
        <v>0</v>
      </c>
      <c r="O17" s="42">
        <v>577</v>
      </c>
      <c r="P17" s="43">
        <f t="shared" ref="P17:P60" si="7">SUM(Q17:T17)</f>
        <v>2134</v>
      </c>
      <c r="Q17" s="42">
        <v>1716</v>
      </c>
      <c r="R17" s="42">
        <v>0</v>
      </c>
      <c r="S17" s="42">
        <v>0</v>
      </c>
      <c r="T17" s="206">
        <v>418</v>
      </c>
      <c r="U17" s="466">
        <f t="shared" si="1"/>
        <v>557</v>
      </c>
      <c r="V17" s="42">
        <f t="shared" si="2"/>
        <v>716</v>
      </c>
      <c r="W17" s="42">
        <f t="shared" si="3"/>
        <v>0</v>
      </c>
      <c r="X17" s="42">
        <f t="shared" si="4"/>
        <v>0</v>
      </c>
      <c r="Y17" s="41">
        <f t="shared" si="5"/>
        <v>-159</v>
      </c>
    </row>
    <row r="18" spans="2:25" ht="15" hidden="1" thickBot="1" x14ac:dyDescent="0.25">
      <c r="B18" s="47" t="s">
        <v>454</v>
      </c>
      <c r="C18" s="46" t="s">
        <v>326</v>
      </c>
      <c r="D18" s="560" t="s">
        <v>428</v>
      </c>
      <c r="E18" s="44" t="s">
        <v>453</v>
      </c>
      <c r="F18" s="43">
        <f t="shared" si="0"/>
        <v>135</v>
      </c>
      <c r="G18" s="42">
        <v>135</v>
      </c>
      <c r="H18" s="42">
        <v>0</v>
      </c>
      <c r="I18" s="42">
        <v>0</v>
      </c>
      <c r="J18" s="42">
        <v>0</v>
      </c>
      <c r="K18" s="43">
        <f t="shared" si="6"/>
        <v>134</v>
      </c>
      <c r="L18" s="42">
        <v>134</v>
      </c>
      <c r="M18" s="42">
        <v>0</v>
      </c>
      <c r="N18" s="42">
        <v>0</v>
      </c>
      <c r="O18" s="42">
        <v>0</v>
      </c>
      <c r="P18" s="43">
        <f t="shared" si="7"/>
        <v>233</v>
      </c>
      <c r="Q18" s="42">
        <v>233</v>
      </c>
      <c r="R18" s="42">
        <v>0</v>
      </c>
      <c r="S18" s="42">
        <v>0</v>
      </c>
      <c r="T18" s="206"/>
      <c r="U18" s="466">
        <f t="shared" si="1"/>
        <v>98</v>
      </c>
      <c r="V18" s="42">
        <f t="shared" si="2"/>
        <v>98</v>
      </c>
      <c r="W18" s="42">
        <f t="shared" si="3"/>
        <v>0</v>
      </c>
      <c r="X18" s="42">
        <f t="shared" si="4"/>
        <v>0</v>
      </c>
      <c r="Y18" s="41">
        <f t="shared" si="5"/>
        <v>0</v>
      </c>
    </row>
    <row r="19" spans="2:25" ht="15" hidden="1" thickBot="1" x14ac:dyDescent="0.25">
      <c r="B19" s="47" t="s">
        <v>454</v>
      </c>
      <c r="C19" s="46" t="s">
        <v>277</v>
      </c>
      <c r="D19" s="560" t="s">
        <v>428</v>
      </c>
      <c r="E19" s="44" t="s">
        <v>453</v>
      </c>
      <c r="F19" s="43">
        <f t="shared" si="0"/>
        <v>400</v>
      </c>
      <c r="G19" s="42">
        <v>400</v>
      </c>
      <c r="H19" s="42">
        <v>0</v>
      </c>
      <c r="I19" s="42">
        <v>0</v>
      </c>
      <c r="J19" s="42">
        <v>0</v>
      </c>
      <c r="K19" s="43">
        <f t="shared" si="6"/>
        <v>396</v>
      </c>
      <c r="L19" s="42">
        <v>396</v>
      </c>
      <c r="M19" s="42">
        <v>0</v>
      </c>
      <c r="N19" s="42">
        <v>0</v>
      </c>
      <c r="O19" s="42">
        <v>0</v>
      </c>
      <c r="P19" s="43">
        <f t="shared" si="7"/>
        <v>0</v>
      </c>
      <c r="Q19" s="42">
        <v>0</v>
      </c>
      <c r="R19" s="42">
        <v>0</v>
      </c>
      <c r="S19" s="42">
        <v>0</v>
      </c>
      <c r="T19" s="206"/>
      <c r="U19" s="466">
        <f t="shared" si="1"/>
        <v>-400</v>
      </c>
      <c r="V19" s="42">
        <f t="shared" si="2"/>
        <v>-400</v>
      </c>
      <c r="W19" s="42">
        <f t="shared" si="3"/>
        <v>0</v>
      </c>
      <c r="X19" s="42">
        <f t="shared" si="4"/>
        <v>0</v>
      </c>
      <c r="Y19" s="41">
        <f t="shared" si="5"/>
        <v>0</v>
      </c>
    </row>
    <row r="20" spans="2:25" ht="15" hidden="1" thickBot="1" x14ac:dyDescent="0.25">
      <c r="B20" s="47" t="s">
        <v>454</v>
      </c>
      <c r="C20" s="46" t="s">
        <v>359</v>
      </c>
      <c r="D20" s="560" t="s">
        <v>428</v>
      </c>
      <c r="E20" s="44" t="s">
        <v>453</v>
      </c>
      <c r="F20" s="43">
        <f t="shared" si="0"/>
        <v>50</v>
      </c>
      <c r="G20" s="42">
        <v>50</v>
      </c>
      <c r="H20" s="42">
        <v>0</v>
      </c>
      <c r="I20" s="42">
        <v>0</v>
      </c>
      <c r="J20" s="42">
        <v>0</v>
      </c>
      <c r="K20" s="43">
        <f t="shared" si="6"/>
        <v>49</v>
      </c>
      <c r="L20" s="42">
        <v>49</v>
      </c>
      <c r="M20" s="42">
        <v>0</v>
      </c>
      <c r="N20" s="42">
        <v>0</v>
      </c>
      <c r="O20" s="42">
        <v>0</v>
      </c>
      <c r="P20" s="43">
        <f t="shared" si="7"/>
        <v>143</v>
      </c>
      <c r="Q20" s="42">
        <v>143</v>
      </c>
      <c r="R20" s="42">
        <v>0</v>
      </c>
      <c r="S20" s="42">
        <v>0</v>
      </c>
      <c r="T20" s="206"/>
      <c r="U20" s="466">
        <f t="shared" si="1"/>
        <v>93</v>
      </c>
      <c r="V20" s="42">
        <f t="shared" si="2"/>
        <v>93</v>
      </c>
      <c r="W20" s="42">
        <f t="shared" si="3"/>
        <v>0</v>
      </c>
      <c r="X20" s="42">
        <f t="shared" si="4"/>
        <v>0</v>
      </c>
      <c r="Y20" s="41">
        <f t="shared" si="5"/>
        <v>0</v>
      </c>
    </row>
    <row r="21" spans="2:25" ht="15" hidden="1" thickBot="1" x14ac:dyDescent="0.25">
      <c r="B21" s="47" t="s">
        <v>454</v>
      </c>
      <c r="C21" s="46" t="s">
        <v>356</v>
      </c>
      <c r="D21" s="560" t="s">
        <v>428</v>
      </c>
      <c r="E21" s="44" t="s">
        <v>453</v>
      </c>
      <c r="F21" s="43">
        <f t="shared" si="0"/>
        <v>308</v>
      </c>
      <c r="G21" s="42">
        <v>308</v>
      </c>
      <c r="H21" s="42">
        <v>0</v>
      </c>
      <c r="I21" s="42">
        <v>0</v>
      </c>
      <c r="J21" s="42">
        <v>0</v>
      </c>
      <c r="K21" s="43">
        <f t="shared" si="6"/>
        <v>305</v>
      </c>
      <c r="L21" s="42">
        <v>305</v>
      </c>
      <c r="M21" s="42">
        <v>0</v>
      </c>
      <c r="N21" s="42">
        <v>0</v>
      </c>
      <c r="O21" s="42">
        <v>0</v>
      </c>
      <c r="P21" s="43">
        <f t="shared" si="7"/>
        <v>74</v>
      </c>
      <c r="Q21" s="42">
        <v>74</v>
      </c>
      <c r="R21" s="42">
        <v>0</v>
      </c>
      <c r="S21" s="42">
        <v>0</v>
      </c>
      <c r="T21" s="206"/>
      <c r="U21" s="466">
        <f t="shared" si="1"/>
        <v>-234</v>
      </c>
      <c r="V21" s="42">
        <f t="shared" si="2"/>
        <v>-234</v>
      </c>
      <c r="W21" s="42">
        <f t="shared" si="3"/>
        <v>0</v>
      </c>
      <c r="X21" s="42">
        <f t="shared" si="4"/>
        <v>0</v>
      </c>
      <c r="Y21" s="41">
        <f t="shared" si="5"/>
        <v>0</v>
      </c>
    </row>
    <row r="22" spans="2:25" ht="15.75" thickBot="1" x14ac:dyDescent="0.25">
      <c r="B22" s="559" t="s">
        <v>454</v>
      </c>
      <c r="C22" s="558"/>
      <c r="D22" s="557" t="s">
        <v>428</v>
      </c>
      <c r="E22" s="556" t="s">
        <v>453</v>
      </c>
      <c r="F22" s="527">
        <f t="shared" si="0"/>
        <v>3444</v>
      </c>
      <c r="G22" s="555">
        <f>SUM(G16:G21)</f>
        <v>2753</v>
      </c>
      <c r="H22" s="555">
        <f>SUM(H16:H21)</f>
        <v>0</v>
      </c>
      <c r="I22" s="555">
        <f>SUM(I16:I21)</f>
        <v>0</v>
      </c>
      <c r="J22" s="555">
        <f>SUM(J16:J21)</f>
        <v>691</v>
      </c>
      <c r="K22" s="527">
        <f t="shared" si="6"/>
        <v>3416</v>
      </c>
      <c r="L22" s="555">
        <f>SUM(L16:L21)</f>
        <v>2725</v>
      </c>
      <c r="M22" s="555">
        <f>SUM(M16:M21)</f>
        <v>0</v>
      </c>
      <c r="N22" s="555">
        <f>SUM(N16:N21)</f>
        <v>0</v>
      </c>
      <c r="O22" s="555">
        <f>SUM(O16:O21)</f>
        <v>691</v>
      </c>
      <c r="P22" s="527">
        <f t="shared" si="7"/>
        <v>3364</v>
      </c>
      <c r="Q22" s="555">
        <f>SUM(Q16:Q21)</f>
        <v>2946</v>
      </c>
      <c r="R22" s="555">
        <f>SUM(R16:R21)</f>
        <v>0</v>
      </c>
      <c r="S22" s="555">
        <f>SUM(S16:S21)</f>
        <v>0</v>
      </c>
      <c r="T22" s="534">
        <f>SUM(T16:T21)</f>
        <v>418</v>
      </c>
      <c r="U22" s="528">
        <f t="shared" si="1"/>
        <v>-80</v>
      </c>
      <c r="V22" s="553">
        <f t="shared" si="2"/>
        <v>193</v>
      </c>
      <c r="W22" s="553">
        <f t="shared" si="3"/>
        <v>0</v>
      </c>
      <c r="X22" s="553">
        <f t="shared" si="4"/>
        <v>0</v>
      </c>
      <c r="Y22" s="552">
        <f t="shared" si="5"/>
        <v>-273</v>
      </c>
    </row>
    <row r="23" spans="2:25" ht="15" hidden="1" thickBot="1" x14ac:dyDescent="0.25">
      <c r="B23" s="47" t="s">
        <v>452</v>
      </c>
      <c r="C23" s="46" t="s">
        <v>349</v>
      </c>
      <c r="D23" s="560" t="s">
        <v>428</v>
      </c>
      <c r="E23" s="44" t="s">
        <v>451</v>
      </c>
      <c r="F23" s="43">
        <f t="shared" si="0"/>
        <v>950</v>
      </c>
      <c r="G23" s="42">
        <v>950</v>
      </c>
      <c r="H23" s="42">
        <v>0</v>
      </c>
      <c r="I23" s="42">
        <v>0</v>
      </c>
      <c r="J23" s="42">
        <v>0</v>
      </c>
      <c r="K23" s="43">
        <f t="shared" si="6"/>
        <v>940</v>
      </c>
      <c r="L23" s="42">
        <v>940</v>
      </c>
      <c r="M23" s="42">
        <v>0</v>
      </c>
      <c r="N23" s="42">
        <v>0</v>
      </c>
      <c r="O23" s="42">
        <v>0</v>
      </c>
      <c r="P23" s="43">
        <f t="shared" si="7"/>
        <v>0</v>
      </c>
      <c r="Q23" s="42">
        <v>0</v>
      </c>
      <c r="R23" s="42">
        <v>0</v>
      </c>
      <c r="S23" s="42">
        <v>0</v>
      </c>
      <c r="T23" s="206"/>
      <c r="U23" s="466">
        <f t="shared" si="1"/>
        <v>-950</v>
      </c>
      <c r="V23" s="42">
        <f t="shared" si="2"/>
        <v>-950</v>
      </c>
      <c r="W23" s="42">
        <f t="shared" si="3"/>
        <v>0</v>
      </c>
      <c r="X23" s="42">
        <f t="shared" si="4"/>
        <v>0</v>
      </c>
      <c r="Y23" s="41">
        <f t="shared" si="5"/>
        <v>0</v>
      </c>
    </row>
    <row r="24" spans="2:25" ht="15" hidden="1" thickBot="1" x14ac:dyDescent="0.25">
      <c r="B24" s="47" t="s">
        <v>452</v>
      </c>
      <c r="C24" s="46" t="s">
        <v>348</v>
      </c>
      <c r="D24" s="560" t="s">
        <v>428</v>
      </c>
      <c r="E24" s="44" t="s">
        <v>451</v>
      </c>
      <c r="F24" s="43">
        <f t="shared" si="0"/>
        <v>40</v>
      </c>
      <c r="G24" s="42">
        <v>40</v>
      </c>
      <c r="H24" s="42">
        <v>0</v>
      </c>
      <c r="I24" s="42">
        <v>0</v>
      </c>
      <c r="J24" s="42">
        <v>0</v>
      </c>
      <c r="K24" s="43">
        <f t="shared" si="6"/>
        <v>40</v>
      </c>
      <c r="L24" s="42">
        <v>40</v>
      </c>
      <c r="M24" s="42">
        <v>0</v>
      </c>
      <c r="N24" s="42">
        <v>0</v>
      </c>
      <c r="O24" s="42">
        <v>0</v>
      </c>
      <c r="P24" s="43">
        <f t="shared" si="7"/>
        <v>0</v>
      </c>
      <c r="Q24" s="42">
        <v>0</v>
      </c>
      <c r="R24" s="42">
        <v>0</v>
      </c>
      <c r="S24" s="42">
        <v>0</v>
      </c>
      <c r="T24" s="206"/>
      <c r="U24" s="466">
        <f t="shared" si="1"/>
        <v>-40</v>
      </c>
      <c r="V24" s="42">
        <f t="shared" si="2"/>
        <v>-40</v>
      </c>
      <c r="W24" s="42">
        <f t="shared" si="3"/>
        <v>0</v>
      </c>
      <c r="X24" s="42">
        <f t="shared" si="4"/>
        <v>0</v>
      </c>
      <c r="Y24" s="41">
        <f t="shared" si="5"/>
        <v>0</v>
      </c>
    </row>
    <row r="25" spans="2:25" ht="15" hidden="1" thickBot="1" x14ac:dyDescent="0.25">
      <c r="B25" s="47" t="s">
        <v>452</v>
      </c>
      <c r="C25" s="46" t="s">
        <v>277</v>
      </c>
      <c r="D25" s="560" t="s">
        <v>428</v>
      </c>
      <c r="E25" s="44" t="s">
        <v>451</v>
      </c>
      <c r="F25" s="43">
        <f t="shared" si="0"/>
        <v>0</v>
      </c>
      <c r="G25" s="42">
        <v>0</v>
      </c>
      <c r="H25" s="42">
        <v>0</v>
      </c>
      <c r="I25" s="42">
        <v>0</v>
      </c>
      <c r="J25" s="42">
        <v>0</v>
      </c>
      <c r="K25" s="43">
        <f t="shared" si="6"/>
        <v>0</v>
      </c>
      <c r="L25" s="42">
        <v>0</v>
      </c>
      <c r="M25" s="42">
        <v>0</v>
      </c>
      <c r="N25" s="42">
        <v>0</v>
      </c>
      <c r="O25" s="42">
        <v>0</v>
      </c>
      <c r="P25" s="43">
        <f t="shared" si="7"/>
        <v>410</v>
      </c>
      <c r="Q25" s="42">
        <v>410</v>
      </c>
      <c r="R25" s="42">
        <v>0</v>
      </c>
      <c r="S25" s="42">
        <v>0</v>
      </c>
      <c r="T25" s="206"/>
      <c r="U25" s="466">
        <f t="shared" si="1"/>
        <v>410</v>
      </c>
      <c r="V25" s="42">
        <f t="shared" si="2"/>
        <v>410</v>
      </c>
      <c r="W25" s="42">
        <f t="shared" si="3"/>
        <v>0</v>
      </c>
      <c r="X25" s="42">
        <f t="shared" si="4"/>
        <v>0</v>
      </c>
      <c r="Y25" s="41">
        <f t="shared" si="5"/>
        <v>0</v>
      </c>
    </row>
    <row r="26" spans="2:25" ht="15" hidden="1" thickBot="1" x14ac:dyDescent="0.25">
      <c r="B26" s="47" t="s">
        <v>452</v>
      </c>
      <c r="C26" s="46" t="s">
        <v>359</v>
      </c>
      <c r="D26" s="560" t="s">
        <v>428</v>
      </c>
      <c r="E26" s="44" t="s">
        <v>451</v>
      </c>
      <c r="F26" s="43">
        <f t="shared" si="0"/>
        <v>40</v>
      </c>
      <c r="G26" s="42">
        <v>40</v>
      </c>
      <c r="H26" s="42">
        <v>0</v>
      </c>
      <c r="I26" s="42">
        <v>0</v>
      </c>
      <c r="J26" s="42">
        <v>0</v>
      </c>
      <c r="K26" s="43">
        <f t="shared" si="6"/>
        <v>40</v>
      </c>
      <c r="L26" s="42">
        <v>40</v>
      </c>
      <c r="M26" s="42">
        <v>0</v>
      </c>
      <c r="N26" s="42">
        <v>0</v>
      </c>
      <c r="O26" s="42"/>
      <c r="P26" s="43">
        <f t="shared" si="7"/>
        <v>0</v>
      </c>
      <c r="Q26" s="42">
        <v>0</v>
      </c>
      <c r="R26" s="42">
        <v>0</v>
      </c>
      <c r="S26" s="42">
        <v>0</v>
      </c>
      <c r="T26" s="206"/>
      <c r="U26" s="466">
        <f t="shared" si="1"/>
        <v>-40</v>
      </c>
      <c r="V26" s="42">
        <f t="shared" si="2"/>
        <v>-40</v>
      </c>
      <c r="W26" s="42">
        <f t="shared" si="3"/>
        <v>0</v>
      </c>
      <c r="X26" s="42">
        <f t="shared" si="4"/>
        <v>0</v>
      </c>
      <c r="Y26" s="41">
        <f t="shared" si="5"/>
        <v>0</v>
      </c>
    </row>
    <row r="27" spans="2:25" ht="15" hidden="1" thickBot="1" x14ac:dyDescent="0.25">
      <c r="B27" s="47" t="s">
        <v>452</v>
      </c>
      <c r="C27" s="46" t="s">
        <v>274</v>
      </c>
      <c r="D27" s="560" t="s">
        <v>428</v>
      </c>
      <c r="E27" s="44" t="s">
        <v>451</v>
      </c>
      <c r="F27" s="43">
        <f t="shared" si="0"/>
        <v>370</v>
      </c>
      <c r="G27" s="42">
        <v>370</v>
      </c>
      <c r="H27" s="42">
        <v>0</v>
      </c>
      <c r="I27" s="42">
        <v>0</v>
      </c>
      <c r="J27" s="42">
        <v>0</v>
      </c>
      <c r="K27" s="43">
        <f t="shared" si="6"/>
        <v>366</v>
      </c>
      <c r="L27" s="42">
        <v>366</v>
      </c>
      <c r="M27" s="42">
        <v>0</v>
      </c>
      <c r="N27" s="42">
        <v>0</v>
      </c>
      <c r="O27" s="42"/>
      <c r="P27" s="43">
        <f t="shared" si="7"/>
        <v>0</v>
      </c>
      <c r="Q27" s="42">
        <v>0</v>
      </c>
      <c r="R27" s="42">
        <v>0</v>
      </c>
      <c r="S27" s="42">
        <v>0</v>
      </c>
      <c r="T27" s="206"/>
      <c r="U27" s="466">
        <f t="shared" si="1"/>
        <v>-370</v>
      </c>
      <c r="V27" s="42">
        <f t="shared" si="2"/>
        <v>-370</v>
      </c>
      <c r="W27" s="42">
        <f t="shared" si="3"/>
        <v>0</v>
      </c>
      <c r="X27" s="42">
        <f t="shared" si="4"/>
        <v>0</v>
      </c>
      <c r="Y27" s="41">
        <f t="shared" si="5"/>
        <v>0</v>
      </c>
    </row>
    <row r="28" spans="2:25" ht="15" hidden="1" thickBot="1" x14ac:dyDescent="0.25">
      <c r="B28" s="47" t="s">
        <v>452</v>
      </c>
      <c r="C28" s="46" t="s">
        <v>280</v>
      </c>
      <c r="D28" s="560" t="s">
        <v>428</v>
      </c>
      <c r="E28" s="44" t="s">
        <v>451</v>
      </c>
      <c r="F28" s="43">
        <f t="shared" si="0"/>
        <v>3714</v>
      </c>
      <c r="G28" s="42">
        <v>2720</v>
      </c>
      <c r="H28" s="42">
        <v>0</v>
      </c>
      <c r="I28" s="42">
        <v>0</v>
      </c>
      <c r="J28" s="42">
        <v>994</v>
      </c>
      <c r="K28" s="43">
        <f t="shared" si="6"/>
        <v>3687</v>
      </c>
      <c r="L28" s="42">
        <v>2693</v>
      </c>
      <c r="M28" s="42">
        <v>0</v>
      </c>
      <c r="N28" s="42">
        <v>0</v>
      </c>
      <c r="O28" s="42">
        <v>994</v>
      </c>
      <c r="P28" s="43">
        <f t="shared" si="7"/>
        <v>3899</v>
      </c>
      <c r="Q28" s="42">
        <f>3147-5</f>
        <v>3142</v>
      </c>
      <c r="R28" s="42">
        <v>0</v>
      </c>
      <c r="S28" s="42">
        <v>0</v>
      </c>
      <c r="T28" s="206">
        <v>757</v>
      </c>
      <c r="U28" s="466">
        <f t="shared" si="1"/>
        <v>185</v>
      </c>
      <c r="V28" s="42">
        <f t="shared" si="2"/>
        <v>422</v>
      </c>
      <c r="W28" s="42">
        <f t="shared" si="3"/>
        <v>0</v>
      </c>
      <c r="X28" s="42">
        <f t="shared" si="4"/>
        <v>0</v>
      </c>
      <c r="Y28" s="41">
        <f t="shared" si="5"/>
        <v>-237</v>
      </c>
    </row>
    <row r="29" spans="2:25" ht="15.75" thickBot="1" x14ac:dyDescent="0.25">
      <c r="B29" s="559" t="s">
        <v>452</v>
      </c>
      <c r="C29" s="558"/>
      <c r="D29" s="557" t="s">
        <v>428</v>
      </c>
      <c r="E29" s="556" t="s">
        <v>451</v>
      </c>
      <c r="F29" s="527">
        <f t="shared" si="0"/>
        <v>5114</v>
      </c>
      <c r="G29" s="555">
        <f>SUM(G23:G28)</f>
        <v>4120</v>
      </c>
      <c r="H29" s="555">
        <f>SUM(H23:H28)</f>
        <v>0</v>
      </c>
      <c r="I29" s="555">
        <f>SUM(I23:I28)</f>
        <v>0</v>
      </c>
      <c r="J29" s="555">
        <f>SUM(J23:J28)</f>
        <v>994</v>
      </c>
      <c r="K29" s="527">
        <f t="shared" si="6"/>
        <v>5073</v>
      </c>
      <c r="L29" s="555">
        <f>SUM(L23:L28)</f>
        <v>4079</v>
      </c>
      <c r="M29" s="555">
        <f>SUM(M23:M28)</f>
        <v>0</v>
      </c>
      <c r="N29" s="555">
        <f>SUM(N23:N28)</f>
        <v>0</v>
      </c>
      <c r="O29" s="555">
        <f>SUM(O23:O28)</f>
        <v>994</v>
      </c>
      <c r="P29" s="527">
        <f t="shared" si="7"/>
        <v>4309</v>
      </c>
      <c r="Q29" s="555">
        <f>SUM(Q23:Q28)</f>
        <v>3552</v>
      </c>
      <c r="R29" s="555">
        <f>SUM(R23:R28)</f>
        <v>0</v>
      </c>
      <c r="S29" s="555">
        <f>SUM(S23:S28)</f>
        <v>0</v>
      </c>
      <c r="T29" s="534">
        <f>SUM(T23:T28)</f>
        <v>757</v>
      </c>
      <c r="U29" s="528">
        <f t="shared" si="1"/>
        <v>-805</v>
      </c>
      <c r="V29" s="553">
        <f t="shared" si="2"/>
        <v>-568</v>
      </c>
      <c r="W29" s="553">
        <f t="shared" si="3"/>
        <v>0</v>
      </c>
      <c r="X29" s="553">
        <f t="shared" si="4"/>
        <v>0</v>
      </c>
      <c r="Y29" s="552">
        <f t="shared" si="5"/>
        <v>-237</v>
      </c>
    </row>
    <row r="30" spans="2:25" ht="15" hidden="1" thickBot="1" x14ac:dyDescent="0.25">
      <c r="B30" s="47" t="s">
        <v>450</v>
      </c>
      <c r="C30" s="46" t="s">
        <v>335</v>
      </c>
      <c r="D30" s="560" t="s">
        <v>428</v>
      </c>
      <c r="E30" s="44" t="s">
        <v>449</v>
      </c>
      <c r="F30" s="43">
        <f t="shared" si="0"/>
        <v>4175</v>
      </c>
      <c r="G30" s="42">
        <v>3211</v>
      </c>
      <c r="H30" s="42">
        <v>0</v>
      </c>
      <c r="I30" s="42">
        <v>0</v>
      </c>
      <c r="J30" s="42">
        <v>964</v>
      </c>
      <c r="K30" s="43">
        <f t="shared" si="6"/>
        <v>4143</v>
      </c>
      <c r="L30" s="42">
        <v>3179</v>
      </c>
      <c r="M30" s="42">
        <v>0</v>
      </c>
      <c r="N30" s="42">
        <v>0</v>
      </c>
      <c r="O30" s="42">
        <v>964</v>
      </c>
      <c r="P30" s="43">
        <f t="shared" si="7"/>
        <v>3651</v>
      </c>
      <c r="Q30" s="42">
        <v>3020</v>
      </c>
      <c r="R30" s="42">
        <v>0</v>
      </c>
      <c r="S30" s="42">
        <v>0</v>
      </c>
      <c r="T30" s="206">
        <v>631</v>
      </c>
      <c r="U30" s="466">
        <f t="shared" si="1"/>
        <v>-524</v>
      </c>
      <c r="V30" s="42">
        <f t="shared" si="2"/>
        <v>-191</v>
      </c>
      <c r="W30" s="42">
        <f t="shared" si="3"/>
        <v>0</v>
      </c>
      <c r="X30" s="42">
        <f t="shared" si="4"/>
        <v>0</v>
      </c>
      <c r="Y30" s="41">
        <f t="shared" si="5"/>
        <v>-333</v>
      </c>
    </row>
    <row r="31" spans="2:25" ht="26.25" thickBot="1" x14ac:dyDescent="0.25">
      <c r="B31" s="559" t="s">
        <v>450</v>
      </c>
      <c r="C31" s="558"/>
      <c r="D31" s="557" t="s">
        <v>428</v>
      </c>
      <c r="E31" s="556" t="s">
        <v>449</v>
      </c>
      <c r="F31" s="527">
        <f t="shared" si="0"/>
        <v>4175</v>
      </c>
      <c r="G31" s="555">
        <f>SUM(G30)</f>
        <v>3211</v>
      </c>
      <c r="H31" s="555">
        <f>SUM(H30)</f>
        <v>0</v>
      </c>
      <c r="I31" s="555">
        <f>SUM(I30)</f>
        <v>0</v>
      </c>
      <c r="J31" s="555">
        <f>SUM(J30)</f>
        <v>964</v>
      </c>
      <c r="K31" s="527">
        <f t="shared" si="6"/>
        <v>4143</v>
      </c>
      <c r="L31" s="555">
        <f>SUM(L30)</f>
        <v>3179</v>
      </c>
      <c r="M31" s="555">
        <f>SUM(M30)</f>
        <v>0</v>
      </c>
      <c r="N31" s="555">
        <f>SUM(N30)</f>
        <v>0</v>
      </c>
      <c r="O31" s="555">
        <f>SUM(O30)</f>
        <v>964</v>
      </c>
      <c r="P31" s="527">
        <f t="shared" si="7"/>
        <v>3651</v>
      </c>
      <c r="Q31" s="555">
        <f>SUM(Q30)</f>
        <v>3020</v>
      </c>
      <c r="R31" s="555">
        <f>SUM(R30)</f>
        <v>0</v>
      </c>
      <c r="S31" s="555">
        <f>SUM(S30)</f>
        <v>0</v>
      </c>
      <c r="T31" s="534">
        <f>SUM(T30)</f>
        <v>631</v>
      </c>
      <c r="U31" s="528">
        <f t="shared" si="1"/>
        <v>-524</v>
      </c>
      <c r="V31" s="553">
        <f t="shared" si="2"/>
        <v>-191</v>
      </c>
      <c r="W31" s="553">
        <f t="shared" si="3"/>
        <v>0</v>
      </c>
      <c r="X31" s="553">
        <f t="shared" si="4"/>
        <v>0</v>
      </c>
      <c r="Y31" s="552">
        <f t="shared" si="5"/>
        <v>-333</v>
      </c>
    </row>
    <row r="32" spans="2:25" ht="15" hidden="1" thickBot="1" x14ac:dyDescent="0.25">
      <c r="B32" s="47" t="s">
        <v>448</v>
      </c>
      <c r="C32" s="46" t="s">
        <v>307</v>
      </c>
      <c r="D32" s="560" t="s">
        <v>428</v>
      </c>
      <c r="E32" s="44" t="s">
        <v>447</v>
      </c>
      <c r="F32" s="43">
        <f t="shared" si="0"/>
        <v>2198</v>
      </c>
      <c r="G32" s="42">
        <v>1890</v>
      </c>
      <c r="H32" s="42">
        <v>0</v>
      </c>
      <c r="I32" s="42">
        <v>0</v>
      </c>
      <c r="J32" s="42">
        <v>308</v>
      </c>
      <c r="K32" s="43">
        <f t="shared" si="6"/>
        <v>2179</v>
      </c>
      <c r="L32" s="42">
        <v>1871</v>
      </c>
      <c r="M32" s="42">
        <v>0</v>
      </c>
      <c r="N32" s="42">
        <v>0</v>
      </c>
      <c r="O32" s="42">
        <v>308</v>
      </c>
      <c r="P32" s="43">
        <f t="shared" si="7"/>
        <v>2418</v>
      </c>
      <c r="Q32" s="42">
        <f>1889-19</f>
        <v>1870</v>
      </c>
      <c r="R32" s="42">
        <v>0</v>
      </c>
      <c r="S32" s="42">
        <v>0</v>
      </c>
      <c r="T32" s="206">
        <v>548</v>
      </c>
      <c r="U32" s="466">
        <f t="shared" si="1"/>
        <v>220</v>
      </c>
      <c r="V32" s="42">
        <f t="shared" si="2"/>
        <v>-20</v>
      </c>
      <c r="W32" s="42">
        <f t="shared" si="3"/>
        <v>0</v>
      </c>
      <c r="X32" s="42">
        <f t="shared" si="4"/>
        <v>0</v>
      </c>
      <c r="Y32" s="41">
        <f t="shared" si="5"/>
        <v>240</v>
      </c>
    </row>
    <row r="33" spans="2:25" ht="15" hidden="1" thickBot="1" x14ac:dyDescent="0.25">
      <c r="B33" s="47" t="s">
        <v>448</v>
      </c>
      <c r="C33" s="46" t="s">
        <v>277</v>
      </c>
      <c r="D33" s="560" t="s">
        <v>428</v>
      </c>
      <c r="E33" s="44" t="s">
        <v>447</v>
      </c>
      <c r="F33" s="43">
        <f t="shared" si="0"/>
        <v>0</v>
      </c>
      <c r="G33" s="42">
        <v>0</v>
      </c>
      <c r="H33" s="42">
        <v>0</v>
      </c>
      <c r="I33" s="42">
        <v>0</v>
      </c>
      <c r="J33" s="42">
        <v>0</v>
      </c>
      <c r="K33" s="43">
        <f t="shared" si="6"/>
        <v>0</v>
      </c>
      <c r="L33" s="42">
        <v>0</v>
      </c>
      <c r="M33" s="42">
        <v>0</v>
      </c>
      <c r="N33" s="42">
        <v>0</v>
      </c>
      <c r="O33" s="42">
        <v>0</v>
      </c>
      <c r="P33" s="43">
        <f t="shared" si="7"/>
        <v>599</v>
      </c>
      <c r="Q33" s="42">
        <v>599</v>
      </c>
      <c r="R33" s="42">
        <v>0</v>
      </c>
      <c r="S33" s="42">
        <v>0</v>
      </c>
      <c r="T33" s="206"/>
      <c r="U33" s="466">
        <f t="shared" si="1"/>
        <v>599</v>
      </c>
      <c r="V33" s="42">
        <f t="shared" si="2"/>
        <v>599</v>
      </c>
      <c r="W33" s="42">
        <f t="shared" si="3"/>
        <v>0</v>
      </c>
      <c r="X33" s="42">
        <f t="shared" si="4"/>
        <v>0</v>
      </c>
      <c r="Y33" s="41">
        <f t="shared" si="5"/>
        <v>0</v>
      </c>
    </row>
    <row r="34" spans="2:25" ht="15" hidden="1" thickBot="1" x14ac:dyDescent="0.25">
      <c r="B34" s="47" t="s">
        <v>448</v>
      </c>
      <c r="C34" s="46" t="s">
        <v>301</v>
      </c>
      <c r="D34" s="560" t="s">
        <v>428</v>
      </c>
      <c r="E34" s="44" t="s">
        <v>447</v>
      </c>
      <c r="F34" s="43">
        <f t="shared" si="0"/>
        <v>1795</v>
      </c>
      <c r="G34" s="42">
        <v>1348</v>
      </c>
      <c r="H34" s="42">
        <v>0</v>
      </c>
      <c r="I34" s="42">
        <v>0</v>
      </c>
      <c r="J34" s="42">
        <v>447</v>
      </c>
      <c r="K34" s="43">
        <f t="shared" si="6"/>
        <v>1782</v>
      </c>
      <c r="L34" s="42">
        <v>1335</v>
      </c>
      <c r="M34" s="42">
        <v>0</v>
      </c>
      <c r="N34" s="42">
        <v>0</v>
      </c>
      <c r="O34" s="42">
        <v>447</v>
      </c>
      <c r="P34" s="43">
        <f t="shared" si="7"/>
        <v>582</v>
      </c>
      <c r="Q34" s="42">
        <v>582</v>
      </c>
      <c r="R34" s="42">
        <v>0</v>
      </c>
      <c r="S34" s="42">
        <v>0</v>
      </c>
      <c r="T34" s="206"/>
      <c r="U34" s="466">
        <f t="shared" si="1"/>
        <v>-1213</v>
      </c>
      <c r="V34" s="42">
        <f t="shared" si="2"/>
        <v>-766</v>
      </c>
      <c r="W34" s="42">
        <f t="shared" si="3"/>
        <v>0</v>
      </c>
      <c r="X34" s="42">
        <f t="shared" si="4"/>
        <v>0</v>
      </c>
      <c r="Y34" s="41">
        <f t="shared" si="5"/>
        <v>-447</v>
      </c>
    </row>
    <row r="35" spans="2:25" ht="15.75" thickBot="1" x14ac:dyDescent="0.25">
      <c r="B35" s="559" t="s">
        <v>448</v>
      </c>
      <c r="C35" s="558"/>
      <c r="D35" s="557" t="s">
        <v>428</v>
      </c>
      <c r="E35" s="556" t="s">
        <v>447</v>
      </c>
      <c r="F35" s="527">
        <f t="shared" si="0"/>
        <v>3993</v>
      </c>
      <c r="G35" s="555">
        <f>SUM(G32:G34)</f>
        <v>3238</v>
      </c>
      <c r="H35" s="555">
        <f>SUM(H32:H34)</f>
        <v>0</v>
      </c>
      <c r="I35" s="555">
        <f>SUM(I32:I34)</f>
        <v>0</v>
      </c>
      <c r="J35" s="555">
        <f>SUM(J32:J34)</f>
        <v>755</v>
      </c>
      <c r="K35" s="527">
        <f t="shared" si="6"/>
        <v>3961</v>
      </c>
      <c r="L35" s="555">
        <f>SUM(L32:L34)</f>
        <v>3206</v>
      </c>
      <c r="M35" s="555">
        <f>SUM(M32:M34)</f>
        <v>0</v>
      </c>
      <c r="N35" s="555">
        <f>SUM(N32:N34)</f>
        <v>0</v>
      </c>
      <c r="O35" s="555">
        <f>SUM(O32:O34)</f>
        <v>755</v>
      </c>
      <c r="P35" s="527">
        <f t="shared" si="7"/>
        <v>3599</v>
      </c>
      <c r="Q35" s="555">
        <f>SUM(Q32:Q34)</f>
        <v>3051</v>
      </c>
      <c r="R35" s="555">
        <f>SUM(R32:R34)</f>
        <v>0</v>
      </c>
      <c r="S35" s="555">
        <f>SUM(S32:S34)</f>
        <v>0</v>
      </c>
      <c r="T35" s="534">
        <f>SUM(T32:T34)</f>
        <v>548</v>
      </c>
      <c r="U35" s="528">
        <f t="shared" si="1"/>
        <v>-394</v>
      </c>
      <c r="V35" s="553">
        <f t="shared" si="2"/>
        <v>-187</v>
      </c>
      <c r="W35" s="553">
        <f t="shared" si="3"/>
        <v>0</v>
      </c>
      <c r="X35" s="553">
        <f t="shared" si="4"/>
        <v>0</v>
      </c>
      <c r="Y35" s="552">
        <f t="shared" si="5"/>
        <v>-207</v>
      </c>
    </row>
    <row r="36" spans="2:25" ht="15" hidden="1" thickBot="1" x14ac:dyDescent="0.25">
      <c r="B36" s="47" t="s">
        <v>446</v>
      </c>
      <c r="C36" s="46" t="s">
        <v>307</v>
      </c>
      <c r="D36" s="560" t="s">
        <v>428</v>
      </c>
      <c r="E36" s="44" t="s">
        <v>445</v>
      </c>
      <c r="F36" s="43">
        <f t="shared" si="0"/>
        <v>2812</v>
      </c>
      <c r="G36" s="42">
        <v>2764</v>
      </c>
      <c r="H36" s="42">
        <v>0</v>
      </c>
      <c r="I36" s="42">
        <v>0</v>
      </c>
      <c r="J36" s="42">
        <v>48</v>
      </c>
      <c r="K36" s="43">
        <f t="shared" si="6"/>
        <v>2784</v>
      </c>
      <c r="L36" s="42">
        <v>2736</v>
      </c>
      <c r="M36" s="42">
        <v>0</v>
      </c>
      <c r="N36" s="42">
        <v>0</v>
      </c>
      <c r="O36" s="42">
        <v>48</v>
      </c>
      <c r="P36" s="43">
        <f t="shared" si="7"/>
        <v>2745</v>
      </c>
      <c r="Q36" s="42">
        <f>2687-17</f>
        <v>2670</v>
      </c>
      <c r="R36" s="42">
        <v>0</v>
      </c>
      <c r="S36" s="42">
        <v>0</v>
      </c>
      <c r="T36" s="206">
        <v>75</v>
      </c>
      <c r="U36" s="466">
        <f t="shared" si="1"/>
        <v>-67</v>
      </c>
      <c r="V36" s="42">
        <f t="shared" si="2"/>
        <v>-94</v>
      </c>
      <c r="W36" s="42">
        <f t="shared" si="3"/>
        <v>0</v>
      </c>
      <c r="X36" s="42">
        <f t="shared" si="4"/>
        <v>0</v>
      </c>
      <c r="Y36" s="41">
        <f t="shared" si="5"/>
        <v>27</v>
      </c>
    </row>
    <row r="37" spans="2:25" ht="15" hidden="1" thickBot="1" x14ac:dyDescent="0.25">
      <c r="B37" s="47" t="s">
        <v>446</v>
      </c>
      <c r="C37" s="46" t="s">
        <v>302</v>
      </c>
      <c r="D37" s="560" t="s">
        <v>428</v>
      </c>
      <c r="E37" s="44" t="s">
        <v>445</v>
      </c>
      <c r="F37" s="43">
        <f t="shared" si="0"/>
        <v>1770</v>
      </c>
      <c r="G37" s="42">
        <v>1696</v>
      </c>
      <c r="H37" s="42">
        <v>0</v>
      </c>
      <c r="I37" s="42">
        <v>0</v>
      </c>
      <c r="J37" s="42">
        <v>74</v>
      </c>
      <c r="K37" s="43">
        <f t="shared" si="6"/>
        <v>1753</v>
      </c>
      <c r="L37" s="42">
        <v>1679</v>
      </c>
      <c r="M37" s="42">
        <v>0</v>
      </c>
      <c r="N37" s="42">
        <v>0</v>
      </c>
      <c r="O37" s="42">
        <v>74</v>
      </c>
      <c r="P37" s="43">
        <f t="shared" si="7"/>
        <v>1551</v>
      </c>
      <c r="Q37" s="42">
        <v>1551</v>
      </c>
      <c r="R37" s="42">
        <v>0</v>
      </c>
      <c r="S37" s="42">
        <v>0</v>
      </c>
      <c r="T37" s="206"/>
      <c r="U37" s="466">
        <f t="shared" si="1"/>
        <v>-219</v>
      </c>
      <c r="V37" s="42">
        <f t="shared" si="2"/>
        <v>-145</v>
      </c>
      <c r="W37" s="42">
        <f t="shared" si="3"/>
        <v>0</v>
      </c>
      <c r="X37" s="42">
        <f t="shared" si="4"/>
        <v>0</v>
      </c>
      <c r="Y37" s="41">
        <f t="shared" si="5"/>
        <v>-74</v>
      </c>
    </row>
    <row r="38" spans="2:25" ht="15" hidden="1" thickBot="1" x14ac:dyDescent="0.25">
      <c r="B38" s="47" t="s">
        <v>446</v>
      </c>
      <c r="C38" s="46" t="s">
        <v>277</v>
      </c>
      <c r="D38" s="560" t="s">
        <v>428</v>
      </c>
      <c r="E38" s="44" t="s">
        <v>445</v>
      </c>
      <c r="F38" s="43">
        <f t="shared" si="0"/>
        <v>110</v>
      </c>
      <c r="G38" s="42">
        <v>110</v>
      </c>
      <c r="H38" s="42">
        <v>0</v>
      </c>
      <c r="I38" s="42">
        <v>0</v>
      </c>
      <c r="J38" s="42">
        <v>0</v>
      </c>
      <c r="K38" s="43">
        <f t="shared" si="6"/>
        <v>109</v>
      </c>
      <c r="L38" s="42">
        <v>109</v>
      </c>
      <c r="M38" s="42">
        <v>0</v>
      </c>
      <c r="N38" s="42">
        <v>0</v>
      </c>
      <c r="O38" s="42">
        <v>0</v>
      </c>
      <c r="P38" s="43">
        <f t="shared" si="7"/>
        <v>90</v>
      </c>
      <c r="Q38" s="42">
        <v>90</v>
      </c>
      <c r="R38" s="42">
        <v>0</v>
      </c>
      <c r="S38" s="42">
        <v>0</v>
      </c>
      <c r="T38" s="206"/>
      <c r="U38" s="466">
        <f t="shared" si="1"/>
        <v>-20</v>
      </c>
      <c r="V38" s="42">
        <f t="shared" si="2"/>
        <v>-20</v>
      </c>
      <c r="W38" s="42">
        <f t="shared" si="3"/>
        <v>0</v>
      </c>
      <c r="X38" s="42">
        <f t="shared" si="4"/>
        <v>0</v>
      </c>
      <c r="Y38" s="41">
        <f t="shared" si="5"/>
        <v>0</v>
      </c>
    </row>
    <row r="39" spans="2:25" ht="26.25" thickBot="1" x14ac:dyDescent="0.25">
      <c r="B39" s="559" t="s">
        <v>446</v>
      </c>
      <c r="C39" s="558"/>
      <c r="D39" s="557" t="s">
        <v>428</v>
      </c>
      <c r="E39" s="556" t="s">
        <v>445</v>
      </c>
      <c r="F39" s="527">
        <f t="shared" si="0"/>
        <v>4692</v>
      </c>
      <c r="G39" s="555">
        <f>SUM(G36:G38)</f>
        <v>4570</v>
      </c>
      <c r="H39" s="555">
        <f>SUM(H36:H38)</f>
        <v>0</v>
      </c>
      <c r="I39" s="555">
        <f>SUM(I36:I38)</f>
        <v>0</v>
      </c>
      <c r="J39" s="555">
        <f>SUM(J36:J38)</f>
        <v>122</v>
      </c>
      <c r="K39" s="527">
        <f t="shared" si="6"/>
        <v>4646</v>
      </c>
      <c r="L39" s="555">
        <f>SUM(L36:L38)</f>
        <v>4524</v>
      </c>
      <c r="M39" s="555">
        <f>SUM(M36:M38)</f>
        <v>0</v>
      </c>
      <c r="N39" s="555">
        <f>SUM(N36:N38)</f>
        <v>0</v>
      </c>
      <c r="O39" s="555">
        <f>SUM(O36:O38)</f>
        <v>122</v>
      </c>
      <c r="P39" s="527">
        <f t="shared" si="7"/>
        <v>4386</v>
      </c>
      <c r="Q39" s="555">
        <f>SUM(Q36:Q38)</f>
        <v>4311</v>
      </c>
      <c r="R39" s="555">
        <f>SUM(R36:R38)</f>
        <v>0</v>
      </c>
      <c r="S39" s="555">
        <f>SUM(S36:S38)</f>
        <v>0</v>
      </c>
      <c r="T39" s="534">
        <f>SUM(T36:T38)</f>
        <v>75</v>
      </c>
      <c r="U39" s="528">
        <f t="shared" si="1"/>
        <v>-306</v>
      </c>
      <c r="V39" s="553">
        <f t="shared" si="2"/>
        <v>-259</v>
      </c>
      <c r="W39" s="553">
        <f t="shared" si="3"/>
        <v>0</v>
      </c>
      <c r="X39" s="553">
        <f t="shared" si="4"/>
        <v>0</v>
      </c>
      <c r="Y39" s="552">
        <f t="shared" si="5"/>
        <v>-47</v>
      </c>
    </row>
    <row r="40" spans="2:25" ht="15" hidden="1" thickBot="1" x14ac:dyDescent="0.25">
      <c r="B40" s="47" t="s">
        <v>444</v>
      </c>
      <c r="C40" s="46" t="s">
        <v>307</v>
      </c>
      <c r="D40" s="560" t="s">
        <v>428</v>
      </c>
      <c r="E40" s="44" t="s">
        <v>443</v>
      </c>
      <c r="F40" s="43">
        <f t="shared" si="0"/>
        <v>2659</v>
      </c>
      <c r="G40" s="42">
        <v>1867</v>
      </c>
      <c r="H40" s="42">
        <v>0</v>
      </c>
      <c r="I40" s="42">
        <v>0</v>
      </c>
      <c r="J40" s="42">
        <v>792</v>
      </c>
      <c r="K40" s="43">
        <f t="shared" si="6"/>
        <v>2640</v>
      </c>
      <c r="L40" s="42">
        <v>1848</v>
      </c>
      <c r="M40" s="42">
        <v>0</v>
      </c>
      <c r="N40" s="42">
        <v>0</v>
      </c>
      <c r="O40" s="42">
        <v>792</v>
      </c>
      <c r="P40" s="43">
        <f t="shared" si="7"/>
        <v>2035</v>
      </c>
      <c r="Q40" s="42">
        <v>2035</v>
      </c>
      <c r="R40" s="42">
        <v>0</v>
      </c>
      <c r="S40" s="42">
        <v>0</v>
      </c>
      <c r="T40" s="206"/>
      <c r="U40" s="466">
        <f t="shared" si="1"/>
        <v>-624</v>
      </c>
      <c r="V40" s="42">
        <f t="shared" si="2"/>
        <v>168</v>
      </c>
      <c r="W40" s="42">
        <f t="shared" si="3"/>
        <v>0</v>
      </c>
      <c r="X40" s="42">
        <f t="shared" si="4"/>
        <v>0</v>
      </c>
      <c r="Y40" s="41">
        <f t="shared" si="5"/>
        <v>-792</v>
      </c>
    </row>
    <row r="41" spans="2:25" ht="15" hidden="1" thickBot="1" x14ac:dyDescent="0.25">
      <c r="B41" s="47" t="s">
        <v>444</v>
      </c>
      <c r="C41" s="46" t="s">
        <v>302</v>
      </c>
      <c r="D41" s="560" t="s">
        <v>428</v>
      </c>
      <c r="E41" s="44" t="s">
        <v>443</v>
      </c>
      <c r="F41" s="43">
        <f t="shared" si="0"/>
        <v>5930</v>
      </c>
      <c r="G41" s="42">
        <v>5034</v>
      </c>
      <c r="H41" s="42">
        <v>0</v>
      </c>
      <c r="I41" s="42">
        <v>0</v>
      </c>
      <c r="J41" s="42">
        <v>896</v>
      </c>
      <c r="K41" s="43">
        <f t="shared" si="6"/>
        <v>5880</v>
      </c>
      <c r="L41" s="42">
        <v>4984</v>
      </c>
      <c r="M41" s="42">
        <v>0</v>
      </c>
      <c r="N41" s="42">
        <v>0</v>
      </c>
      <c r="O41" s="42">
        <v>896</v>
      </c>
      <c r="P41" s="43">
        <f t="shared" si="7"/>
        <v>5416</v>
      </c>
      <c r="Q41" s="42">
        <f>3823-32</f>
        <v>3791</v>
      </c>
      <c r="R41" s="42">
        <v>65</v>
      </c>
      <c r="S41" s="42">
        <v>0</v>
      </c>
      <c r="T41" s="206">
        <v>1560</v>
      </c>
      <c r="U41" s="466">
        <f t="shared" si="1"/>
        <v>-514</v>
      </c>
      <c r="V41" s="42">
        <f t="shared" si="2"/>
        <v>-1243</v>
      </c>
      <c r="W41" s="42">
        <f t="shared" si="3"/>
        <v>65</v>
      </c>
      <c r="X41" s="42">
        <f t="shared" si="4"/>
        <v>0</v>
      </c>
      <c r="Y41" s="41">
        <f t="shared" si="5"/>
        <v>664</v>
      </c>
    </row>
    <row r="42" spans="2:25" ht="15" hidden="1" thickBot="1" x14ac:dyDescent="0.25">
      <c r="B42" s="47" t="s">
        <v>444</v>
      </c>
      <c r="C42" s="46" t="s">
        <v>326</v>
      </c>
      <c r="D42" s="560" t="s">
        <v>428</v>
      </c>
      <c r="E42" s="44" t="s">
        <v>443</v>
      </c>
      <c r="F42" s="43">
        <f t="shared" si="0"/>
        <v>52</v>
      </c>
      <c r="G42" s="42">
        <v>52</v>
      </c>
      <c r="H42" s="42">
        <v>0</v>
      </c>
      <c r="I42" s="42">
        <v>0</v>
      </c>
      <c r="J42" s="42">
        <v>0</v>
      </c>
      <c r="K42" s="43">
        <f t="shared" si="6"/>
        <v>51</v>
      </c>
      <c r="L42" s="42">
        <v>51</v>
      </c>
      <c r="M42" s="42">
        <v>0</v>
      </c>
      <c r="N42" s="42">
        <v>0</v>
      </c>
      <c r="O42" s="42">
        <v>0</v>
      </c>
      <c r="P42" s="43">
        <f t="shared" si="7"/>
        <v>0</v>
      </c>
      <c r="Q42" s="42">
        <v>0</v>
      </c>
      <c r="R42" s="42">
        <v>0</v>
      </c>
      <c r="S42" s="42">
        <v>0</v>
      </c>
      <c r="T42" s="206"/>
      <c r="U42" s="466">
        <f t="shared" si="1"/>
        <v>-52</v>
      </c>
      <c r="V42" s="42">
        <f t="shared" si="2"/>
        <v>-52</v>
      </c>
      <c r="W42" s="42">
        <f t="shared" si="3"/>
        <v>0</v>
      </c>
      <c r="X42" s="42">
        <f t="shared" si="4"/>
        <v>0</v>
      </c>
      <c r="Y42" s="41">
        <f t="shared" si="5"/>
        <v>0</v>
      </c>
    </row>
    <row r="43" spans="2:25" ht="15" hidden="1" thickBot="1" x14ac:dyDescent="0.25">
      <c r="B43" s="47" t="s">
        <v>444</v>
      </c>
      <c r="C43" s="46" t="s">
        <v>277</v>
      </c>
      <c r="D43" s="560" t="s">
        <v>428</v>
      </c>
      <c r="E43" s="44" t="s">
        <v>443</v>
      </c>
      <c r="F43" s="43">
        <f t="shared" si="0"/>
        <v>880</v>
      </c>
      <c r="G43" s="42">
        <v>752</v>
      </c>
      <c r="H43" s="42">
        <v>0</v>
      </c>
      <c r="I43" s="42">
        <v>0</v>
      </c>
      <c r="J43" s="42">
        <v>128</v>
      </c>
      <c r="K43" s="43">
        <f t="shared" si="6"/>
        <v>872</v>
      </c>
      <c r="L43" s="42">
        <v>744</v>
      </c>
      <c r="M43" s="42">
        <v>0</v>
      </c>
      <c r="N43" s="42">
        <v>0</v>
      </c>
      <c r="O43" s="42">
        <v>128</v>
      </c>
      <c r="P43" s="43">
        <f t="shared" si="7"/>
        <v>986</v>
      </c>
      <c r="Q43" s="42">
        <v>986</v>
      </c>
      <c r="R43" s="42">
        <v>0</v>
      </c>
      <c r="S43" s="42">
        <v>0</v>
      </c>
      <c r="T43" s="206"/>
      <c r="U43" s="466">
        <f t="shared" si="1"/>
        <v>106</v>
      </c>
      <c r="V43" s="42">
        <f t="shared" si="2"/>
        <v>234</v>
      </c>
      <c r="W43" s="42">
        <f t="shared" si="3"/>
        <v>0</v>
      </c>
      <c r="X43" s="42">
        <f t="shared" si="4"/>
        <v>0</v>
      </c>
      <c r="Y43" s="41">
        <f t="shared" si="5"/>
        <v>-128</v>
      </c>
    </row>
    <row r="44" spans="2:25" ht="15" hidden="1" thickBot="1" x14ac:dyDescent="0.25">
      <c r="B44" s="47" t="s">
        <v>444</v>
      </c>
      <c r="C44" s="46" t="s">
        <v>301</v>
      </c>
      <c r="D44" s="560" t="s">
        <v>428</v>
      </c>
      <c r="E44" s="44" t="s">
        <v>443</v>
      </c>
      <c r="F44" s="43">
        <f t="shared" si="0"/>
        <v>716</v>
      </c>
      <c r="G44" s="42">
        <v>555</v>
      </c>
      <c r="H44" s="42">
        <v>0</v>
      </c>
      <c r="I44" s="42">
        <v>0</v>
      </c>
      <c r="J44" s="42">
        <v>161</v>
      </c>
      <c r="K44" s="43">
        <f t="shared" si="6"/>
        <v>710</v>
      </c>
      <c r="L44" s="42">
        <v>549</v>
      </c>
      <c r="M44" s="42">
        <v>0</v>
      </c>
      <c r="N44" s="42">
        <v>0</v>
      </c>
      <c r="O44" s="42">
        <v>161</v>
      </c>
      <c r="P44" s="43">
        <f t="shared" si="7"/>
        <v>856</v>
      </c>
      <c r="Q44" s="42">
        <v>856</v>
      </c>
      <c r="R44" s="42">
        <v>0</v>
      </c>
      <c r="S44" s="42">
        <v>0</v>
      </c>
      <c r="T44" s="206"/>
      <c r="U44" s="466">
        <f t="shared" si="1"/>
        <v>140</v>
      </c>
      <c r="V44" s="42">
        <f t="shared" si="2"/>
        <v>301</v>
      </c>
      <c r="W44" s="42">
        <f t="shared" si="3"/>
        <v>0</v>
      </c>
      <c r="X44" s="42">
        <f t="shared" si="4"/>
        <v>0</v>
      </c>
      <c r="Y44" s="41">
        <f t="shared" si="5"/>
        <v>-161</v>
      </c>
    </row>
    <row r="45" spans="2:25" ht="15.75" thickBot="1" x14ac:dyDescent="0.25">
      <c r="B45" s="559" t="s">
        <v>444</v>
      </c>
      <c r="C45" s="558"/>
      <c r="D45" s="557" t="s">
        <v>428</v>
      </c>
      <c r="E45" s="556" t="s">
        <v>443</v>
      </c>
      <c r="F45" s="527">
        <f t="shared" si="0"/>
        <v>10237</v>
      </c>
      <c r="G45" s="555">
        <f t="shared" ref="G45:T45" si="8">SUM(G40:G44)</f>
        <v>8260</v>
      </c>
      <c r="H45" s="555">
        <f t="shared" si="8"/>
        <v>0</v>
      </c>
      <c r="I45" s="555">
        <f t="shared" si="8"/>
        <v>0</v>
      </c>
      <c r="J45" s="555">
        <f t="shared" si="8"/>
        <v>1977</v>
      </c>
      <c r="K45" s="527">
        <f t="shared" si="6"/>
        <v>10153</v>
      </c>
      <c r="L45" s="555">
        <f t="shared" si="8"/>
        <v>8176</v>
      </c>
      <c r="M45" s="555">
        <f t="shared" si="8"/>
        <v>0</v>
      </c>
      <c r="N45" s="555">
        <f t="shared" si="8"/>
        <v>0</v>
      </c>
      <c r="O45" s="555">
        <f t="shared" si="8"/>
        <v>1977</v>
      </c>
      <c r="P45" s="527">
        <f t="shared" si="7"/>
        <v>9293</v>
      </c>
      <c r="Q45" s="555">
        <f t="shared" si="8"/>
        <v>7668</v>
      </c>
      <c r="R45" s="555">
        <f t="shared" si="8"/>
        <v>65</v>
      </c>
      <c r="S45" s="555">
        <f t="shared" si="8"/>
        <v>0</v>
      </c>
      <c r="T45" s="534">
        <f t="shared" si="8"/>
        <v>1560</v>
      </c>
      <c r="U45" s="528">
        <f t="shared" si="1"/>
        <v>-944</v>
      </c>
      <c r="V45" s="553">
        <f t="shared" si="2"/>
        <v>-592</v>
      </c>
      <c r="W45" s="553">
        <f t="shared" si="3"/>
        <v>65</v>
      </c>
      <c r="X45" s="553">
        <f t="shared" si="4"/>
        <v>0</v>
      </c>
      <c r="Y45" s="552">
        <f t="shared" si="5"/>
        <v>-417</v>
      </c>
    </row>
    <row r="46" spans="2:25" ht="15" hidden="1" thickBot="1" x14ac:dyDescent="0.25">
      <c r="B46" s="47" t="s">
        <v>442</v>
      </c>
      <c r="C46" s="46" t="s">
        <v>307</v>
      </c>
      <c r="D46" s="560" t="s">
        <v>428</v>
      </c>
      <c r="E46" s="44" t="s">
        <v>441</v>
      </c>
      <c r="F46" s="43">
        <f t="shared" si="0"/>
        <v>1187</v>
      </c>
      <c r="G46" s="42">
        <v>988</v>
      </c>
      <c r="H46" s="42">
        <v>0</v>
      </c>
      <c r="I46" s="42">
        <v>0</v>
      </c>
      <c r="J46" s="42">
        <v>199</v>
      </c>
      <c r="K46" s="43">
        <f t="shared" si="6"/>
        <v>1247</v>
      </c>
      <c r="L46" s="42">
        <v>1048</v>
      </c>
      <c r="M46" s="42">
        <v>0</v>
      </c>
      <c r="N46" s="42">
        <v>0</v>
      </c>
      <c r="O46" s="42">
        <v>199</v>
      </c>
      <c r="P46" s="43">
        <f t="shared" si="7"/>
        <v>1022</v>
      </c>
      <c r="Q46" s="42">
        <v>939</v>
      </c>
      <c r="R46" s="42">
        <v>0</v>
      </c>
      <c r="S46" s="42">
        <v>0</v>
      </c>
      <c r="T46" s="206">
        <v>83</v>
      </c>
      <c r="U46" s="466">
        <f t="shared" si="1"/>
        <v>-165</v>
      </c>
      <c r="V46" s="42">
        <f t="shared" si="2"/>
        <v>-49</v>
      </c>
      <c r="W46" s="42">
        <f t="shared" si="3"/>
        <v>0</v>
      </c>
      <c r="X46" s="42">
        <f t="shared" si="4"/>
        <v>0</v>
      </c>
      <c r="Y46" s="41">
        <f t="shared" si="5"/>
        <v>-116</v>
      </c>
    </row>
    <row r="47" spans="2:25" ht="15.75" thickBot="1" x14ac:dyDescent="0.25">
      <c r="B47" s="559" t="s">
        <v>442</v>
      </c>
      <c r="C47" s="558"/>
      <c r="D47" s="557" t="s">
        <v>428</v>
      </c>
      <c r="E47" s="556" t="s">
        <v>441</v>
      </c>
      <c r="F47" s="527">
        <f t="shared" si="0"/>
        <v>1187</v>
      </c>
      <c r="G47" s="555">
        <f>SUM(G46)</f>
        <v>988</v>
      </c>
      <c r="H47" s="555">
        <f>SUM(H46)</f>
        <v>0</v>
      </c>
      <c r="I47" s="555">
        <f>SUM(I46)</f>
        <v>0</v>
      </c>
      <c r="J47" s="555">
        <f>SUM(J46)</f>
        <v>199</v>
      </c>
      <c r="K47" s="527">
        <f t="shared" si="6"/>
        <v>1247</v>
      </c>
      <c r="L47" s="555">
        <v>1048</v>
      </c>
      <c r="M47" s="555">
        <v>0</v>
      </c>
      <c r="N47" s="555">
        <v>0</v>
      </c>
      <c r="O47" s="555">
        <v>199</v>
      </c>
      <c r="P47" s="527">
        <f t="shared" si="7"/>
        <v>1022</v>
      </c>
      <c r="Q47" s="555">
        <v>939</v>
      </c>
      <c r="R47" s="555">
        <v>0</v>
      </c>
      <c r="S47" s="555">
        <v>0</v>
      </c>
      <c r="T47" s="534">
        <v>83</v>
      </c>
      <c r="U47" s="528">
        <f t="shared" si="1"/>
        <v>-165</v>
      </c>
      <c r="V47" s="553">
        <f t="shared" si="2"/>
        <v>-49</v>
      </c>
      <c r="W47" s="553">
        <f t="shared" si="3"/>
        <v>0</v>
      </c>
      <c r="X47" s="553">
        <f t="shared" si="4"/>
        <v>0</v>
      </c>
      <c r="Y47" s="552">
        <f t="shared" si="5"/>
        <v>-116</v>
      </c>
    </row>
    <row r="48" spans="2:25" ht="15" hidden="1" thickBot="1" x14ac:dyDescent="0.25">
      <c r="B48" s="47" t="s">
        <v>440</v>
      </c>
      <c r="C48" s="46" t="s">
        <v>307</v>
      </c>
      <c r="D48" s="560" t="s">
        <v>428</v>
      </c>
      <c r="E48" s="44" t="s">
        <v>439</v>
      </c>
      <c r="F48" s="43">
        <f t="shared" si="0"/>
        <v>1475</v>
      </c>
      <c r="G48" s="42">
        <v>1427</v>
      </c>
      <c r="H48" s="42">
        <v>0</v>
      </c>
      <c r="I48" s="42">
        <v>0</v>
      </c>
      <c r="J48" s="42">
        <v>48</v>
      </c>
      <c r="K48" s="43">
        <f t="shared" si="6"/>
        <v>1461</v>
      </c>
      <c r="L48" s="42">
        <v>1413</v>
      </c>
      <c r="M48" s="42">
        <v>0</v>
      </c>
      <c r="N48" s="42">
        <v>0</v>
      </c>
      <c r="O48" s="42">
        <v>48</v>
      </c>
      <c r="P48" s="43">
        <f t="shared" si="7"/>
        <v>1395</v>
      </c>
      <c r="Q48" s="42">
        <v>1356</v>
      </c>
      <c r="R48" s="42">
        <v>0</v>
      </c>
      <c r="S48" s="42">
        <v>0</v>
      </c>
      <c r="T48" s="206">
        <v>39</v>
      </c>
      <c r="U48" s="466">
        <f t="shared" si="1"/>
        <v>-80</v>
      </c>
      <c r="V48" s="42">
        <f t="shared" si="2"/>
        <v>-71</v>
      </c>
      <c r="W48" s="42">
        <f t="shared" si="3"/>
        <v>0</v>
      </c>
      <c r="X48" s="42">
        <f t="shared" si="4"/>
        <v>0</v>
      </c>
      <c r="Y48" s="41">
        <f t="shared" si="5"/>
        <v>-9</v>
      </c>
    </row>
    <row r="49" spans="2:25" ht="26.25" thickBot="1" x14ac:dyDescent="0.25">
      <c r="B49" s="559" t="s">
        <v>440</v>
      </c>
      <c r="C49" s="558"/>
      <c r="D49" s="557" t="s">
        <v>428</v>
      </c>
      <c r="E49" s="556" t="s">
        <v>439</v>
      </c>
      <c r="F49" s="527">
        <f t="shared" si="0"/>
        <v>1475</v>
      </c>
      <c r="G49" s="555">
        <f>SUM(G48)</f>
        <v>1427</v>
      </c>
      <c r="H49" s="555">
        <f>SUM(H48)</f>
        <v>0</v>
      </c>
      <c r="I49" s="555">
        <f>SUM(I48)</f>
        <v>0</v>
      </c>
      <c r="J49" s="555">
        <f>SUM(J48)</f>
        <v>48</v>
      </c>
      <c r="K49" s="527">
        <f t="shared" si="6"/>
        <v>1461</v>
      </c>
      <c r="L49" s="555">
        <f>SUM(L48)</f>
        <v>1413</v>
      </c>
      <c r="M49" s="555">
        <f>SUM(M48)</f>
        <v>0</v>
      </c>
      <c r="N49" s="555">
        <f>SUM(N48)</f>
        <v>0</v>
      </c>
      <c r="O49" s="555">
        <f>SUM(O48)</f>
        <v>48</v>
      </c>
      <c r="P49" s="527">
        <f t="shared" si="7"/>
        <v>1395</v>
      </c>
      <c r="Q49" s="555">
        <f>SUM(Q48)</f>
        <v>1356</v>
      </c>
      <c r="R49" s="555">
        <f>SUM(R48)</f>
        <v>0</v>
      </c>
      <c r="S49" s="555">
        <f>SUM(S48)</f>
        <v>0</v>
      </c>
      <c r="T49" s="534">
        <f>SUM(T48)</f>
        <v>39</v>
      </c>
      <c r="U49" s="528">
        <f t="shared" si="1"/>
        <v>-80</v>
      </c>
      <c r="V49" s="553">
        <f t="shared" si="2"/>
        <v>-71</v>
      </c>
      <c r="W49" s="553">
        <f t="shared" si="3"/>
        <v>0</v>
      </c>
      <c r="X49" s="553">
        <f t="shared" si="4"/>
        <v>0</v>
      </c>
      <c r="Y49" s="552">
        <f t="shared" si="5"/>
        <v>-9</v>
      </c>
    </row>
    <row r="50" spans="2:25" ht="15" hidden="1" thickBot="1" x14ac:dyDescent="0.25">
      <c r="B50" s="47" t="s">
        <v>438</v>
      </c>
      <c r="C50" s="46" t="s">
        <v>302</v>
      </c>
      <c r="D50" s="560" t="s">
        <v>428</v>
      </c>
      <c r="E50" s="44" t="s">
        <v>437</v>
      </c>
      <c r="F50" s="43">
        <f t="shared" si="0"/>
        <v>3051</v>
      </c>
      <c r="G50" s="42">
        <v>2736</v>
      </c>
      <c r="H50" s="42">
        <v>0</v>
      </c>
      <c r="I50" s="42">
        <v>0</v>
      </c>
      <c r="J50" s="42">
        <v>315</v>
      </c>
      <c r="K50" s="43">
        <f t="shared" si="6"/>
        <v>3024</v>
      </c>
      <c r="L50" s="42">
        <v>2709</v>
      </c>
      <c r="M50" s="42">
        <v>0</v>
      </c>
      <c r="N50" s="42">
        <v>0</v>
      </c>
      <c r="O50" s="42">
        <v>315</v>
      </c>
      <c r="P50" s="43">
        <f t="shared" si="7"/>
        <v>2827</v>
      </c>
      <c r="Q50" s="42">
        <v>2599</v>
      </c>
      <c r="R50" s="42">
        <v>0</v>
      </c>
      <c r="S50" s="42">
        <v>0</v>
      </c>
      <c r="T50" s="206">
        <v>228</v>
      </c>
      <c r="U50" s="466">
        <f t="shared" si="1"/>
        <v>-224</v>
      </c>
      <c r="V50" s="42">
        <f t="shared" si="2"/>
        <v>-137</v>
      </c>
      <c r="W50" s="42">
        <f t="shared" si="3"/>
        <v>0</v>
      </c>
      <c r="X50" s="42">
        <f t="shared" si="4"/>
        <v>0</v>
      </c>
      <c r="Y50" s="41">
        <f t="shared" si="5"/>
        <v>-87</v>
      </c>
    </row>
    <row r="51" spans="2:25" ht="15" hidden="1" thickBot="1" x14ac:dyDescent="0.25">
      <c r="B51" s="47" t="s">
        <v>438</v>
      </c>
      <c r="C51" s="46" t="s">
        <v>277</v>
      </c>
      <c r="D51" s="560" t="s">
        <v>428</v>
      </c>
      <c r="E51" s="44" t="s">
        <v>437</v>
      </c>
      <c r="F51" s="43">
        <f t="shared" si="0"/>
        <v>200</v>
      </c>
      <c r="G51" s="42">
        <v>200</v>
      </c>
      <c r="H51" s="42">
        <v>0</v>
      </c>
      <c r="I51" s="42">
        <v>0</v>
      </c>
      <c r="J51" s="42">
        <v>0</v>
      </c>
      <c r="K51" s="43">
        <f t="shared" si="6"/>
        <v>198</v>
      </c>
      <c r="L51" s="42">
        <v>198</v>
      </c>
      <c r="M51" s="42">
        <v>0</v>
      </c>
      <c r="N51" s="42">
        <v>0</v>
      </c>
      <c r="O51" s="42">
        <v>0</v>
      </c>
      <c r="P51" s="43">
        <f t="shared" si="7"/>
        <v>190</v>
      </c>
      <c r="Q51" s="42">
        <v>190</v>
      </c>
      <c r="R51" s="42">
        <v>0</v>
      </c>
      <c r="S51" s="42">
        <v>0</v>
      </c>
      <c r="T51" s="206"/>
      <c r="U51" s="466">
        <f t="shared" si="1"/>
        <v>-10</v>
      </c>
      <c r="V51" s="42">
        <f t="shared" si="2"/>
        <v>-10</v>
      </c>
      <c r="W51" s="42">
        <f t="shared" si="3"/>
        <v>0</v>
      </c>
      <c r="X51" s="42">
        <f t="shared" si="4"/>
        <v>0</v>
      </c>
      <c r="Y51" s="41">
        <f t="shared" si="5"/>
        <v>0</v>
      </c>
    </row>
    <row r="52" spans="2:25" ht="15.75" thickBot="1" x14ac:dyDescent="0.25">
      <c r="B52" s="559" t="s">
        <v>438</v>
      </c>
      <c r="C52" s="558"/>
      <c r="D52" s="557" t="s">
        <v>428</v>
      </c>
      <c r="E52" s="556" t="s">
        <v>437</v>
      </c>
      <c r="F52" s="527">
        <f t="shared" si="0"/>
        <v>3251</v>
      </c>
      <c r="G52" s="555">
        <f>SUM(G50:G51)</f>
        <v>2936</v>
      </c>
      <c r="H52" s="555">
        <f>SUM(H50:H51)</f>
        <v>0</v>
      </c>
      <c r="I52" s="555">
        <f>SUM(I50:I51)</f>
        <v>0</v>
      </c>
      <c r="J52" s="555">
        <f>SUM(J50:J51)</f>
        <v>315</v>
      </c>
      <c r="K52" s="527">
        <f t="shared" si="6"/>
        <v>3222</v>
      </c>
      <c r="L52" s="555">
        <f>SUM(L50:L51)</f>
        <v>2907</v>
      </c>
      <c r="M52" s="555">
        <f>SUM(M50:M51)</f>
        <v>0</v>
      </c>
      <c r="N52" s="555">
        <f>SUM(N50:N51)</f>
        <v>0</v>
      </c>
      <c r="O52" s="555">
        <f>SUM(O50:O51)</f>
        <v>315</v>
      </c>
      <c r="P52" s="527">
        <f t="shared" si="7"/>
        <v>3017</v>
      </c>
      <c r="Q52" s="555">
        <f>SUM(Q50:Q51)</f>
        <v>2789</v>
      </c>
      <c r="R52" s="555">
        <f>SUM(R50:R51)</f>
        <v>0</v>
      </c>
      <c r="S52" s="555">
        <f>SUM(S50:S51)</f>
        <v>0</v>
      </c>
      <c r="T52" s="534">
        <f>SUM(T50:T51)</f>
        <v>228</v>
      </c>
      <c r="U52" s="528">
        <f t="shared" si="1"/>
        <v>-234</v>
      </c>
      <c r="V52" s="553">
        <f t="shared" si="2"/>
        <v>-147</v>
      </c>
      <c r="W52" s="553">
        <f t="shared" si="3"/>
        <v>0</v>
      </c>
      <c r="X52" s="553">
        <f t="shared" si="4"/>
        <v>0</v>
      </c>
      <c r="Y52" s="552">
        <f t="shared" si="5"/>
        <v>-87</v>
      </c>
    </row>
    <row r="53" spans="2:25" ht="15" hidden="1" thickBot="1" x14ac:dyDescent="0.25">
      <c r="B53" s="47" t="s">
        <v>436</v>
      </c>
      <c r="C53" s="46" t="s">
        <v>290</v>
      </c>
      <c r="D53" s="560" t="s">
        <v>428</v>
      </c>
      <c r="E53" s="44" t="s">
        <v>435</v>
      </c>
      <c r="F53" s="43">
        <f t="shared" si="0"/>
        <v>52</v>
      </c>
      <c r="G53" s="42">
        <v>47</v>
      </c>
      <c r="H53" s="42">
        <v>0</v>
      </c>
      <c r="I53" s="42">
        <v>0</v>
      </c>
      <c r="J53" s="42">
        <v>5</v>
      </c>
      <c r="K53" s="43">
        <f t="shared" si="6"/>
        <v>52</v>
      </c>
      <c r="L53" s="42">
        <v>47</v>
      </c>
      <c r="M53" s="42">
        <v>0</v>
      </c>
      <c r="N53" s="42">
        <v>0</v>
      </c>
      <c r="O53" s="42">
        <v>5</v>
      </c>
      <c r="P53" s="43">
        <f t="shared" si="7"/>
        <v>50</v>
      </c>
      <c r="Q53" s="42">
        <v>45</v>
      </c>
      <c r="R53" s="42">
        <v>0</v>
      </c>
      <c r="S53" s="42">
        <v>0</v>
      </c>
      <c r="T53" s="206">
        <v>5</v>
      </c>
      <c r="U53" s="466">
        <f t="shared" si="1"/>
        <v>-2</v>
      </c>
      <c r="V53" s="42">
        <f t="shared" si="2"/>
        <v>-2</v>
      </c>
      <c r="W53" s="42">
        <f t="shared" si="3"/>
        <v>0</v>
      </c>
      <c r="X53" s="42">
        <f t="shared" si="4"/>
        <v>0</v>
      </c>
      <c r="Y53" s="41">
        <f t="shared" si="5"/>
        <v>0</v>
      </c>
    </row>
    <row r="54" spans="2:25" ht="15.75" thickBot="1" x14ac:dyDescent="0.25">
      <c r="B54" s="559" t="s">
        <v>436</v>
      </c>
      <c r="C54" s="558"/>
      <c r="D54" s="557" t="s">
        <v>428</v>
      </c>
      <c r="E54" s="556" t="s">
        <v>435</v>
      </c>
      <c r="F54" s="527">
        <f t="shared" si="0"/>
        <v>52</v>
      </c>
      <c r="G54" s="555">
        <f>SUM(G53)</f>
        <v>47</v>
      </c>
      <c r="H54" s="555">
        <f>SUM(H53)</f>
        <v>0</v>
      </c>
      <c r="I54" s="555">
        <f>SUM(I53)</f>
        <v>0</v>
      </c>
      <c r="J54" s="555">
        <f>SUM(J53)</f>
        <v>5</v>
      </c>
      <c r="K54" s="527">
        <f t="shared" si="6"/>
        <v>52</v>
      </c>
      <c r="L54" s="555">
        <f>SUM(L53)</f>
        <v>47</v>
      </c>
      <c r="M54" s="555">
        <f>SUM(M53)</f>
        <v>0</v>
      </c>
      <c r="N54" s="555">
        <f>SUM(N53)</f>
        <v>0</v>
      </c>
      <c r="O54" s="555">
        <f>SUM(O53)</f>
        <v>5</v>
      </c>
      <c r="P54" s="527">
        <f t="shared" si="7"/>
        <v>50</v>
      </c>
      <c r="Q54" s="555">
        <f>SUM(Q53)</f>
        <v>45</v>
      </c>
      <c r="R54" s="555">
        <f>SUM(R53)</f>
        <v>0</v>
      </c>
      <c r="S54" s="555">
        <f>SUM(S53)</f>
        <v>0</v>
      </c>
      <c r="T54" s="534">
        <f>SUM(T53)</f>
        <v>5</v>
      </c>
      <c r="U54" s="528">
        <f t="shared" si="1"/>
        <v>-2</v>
      </c>
      <c r="V54" s="553">
        <f t="shared" si="2"/>
        <v>-2</v>
      </c>
      <c r="W54" s="553">
        <f t="shared" si="3"/>
        <v>0</v>
      </c>
      <c r="X54" s="553">
        <f t="shared" si="4"/>
        <v>0</v>
      </c>
      <c r="Y54" s="552">
        <f t="shared" si="5"/>
        <v>0</v>
      </c>
    </row>
    <row r="55" spans="2:25" ht="15" hidden="1" thickBot="1" x14ac:dyDescent="0.25">
      <c r="B55" s="47" t="s">
        <v>434</v>
      </c>
      <c r="C55" s="46" t="s">
        <v>280</v>
      </c>
      <c r="D55" s="560" t="s">
        <v>428</v>
      </c>
      <c r="E55" s="44" t="s">
        <v>433</v>
      </c>
      <c r="F55" s="43">
        <f t="shared" si="0"/>
        <v>1458</v>
      </c>
      <c r="G55" s="42">
        <v>1178</v>
      </c>
      <c r="H55" s="42">
        <v>0</v>
      </c>
      <c r="I55" s="42">
        <v>0</v>
      </c>
      <c r="J55" s="42">
        <v>280</v>
      </c>
      <c r="K55" s="43">
        <f t="shared" si="6"/>
        <v>1446</v>
      </c>
      <c r="L55" s="42">
        <v>1166</v>
      </c>
      <c r="M55" s="42">
        <v>0</v>
      </c>
      <c r="N55" s="42">
        <v>0</v>
      </c>
      <c r="O55" s="42">
        <v>280</v>
      </c>
      <c r="P55" s="43">
        <f t="shared" si="7"/>
        <v>1309</v>
      </c>
      <c r="Q55" s="42">
        <f>1100-2</f>
        <v>1098</v>
      </c>
      <c r="R55" s="42">
        <v>0</v>
      </c>
      <c r="S55" s="42">
        <v>0</v>
      </c>
      <c r="T55" s="206">
        <v>211</v>
      </c>
      <c r="U55" s="466">
        <f t="shared" si="1"/>
        <v>-149</v>
      </c>
      <c r="V55" s="42">
        <f t="shared" si="2"/>
        <v>-80</v>
      </c>
      <c r="W55" s="42">
        <f t="shared" si="3"/>
        <v>0</v>
      </c>
      <c r="X55" s="42">
        <f t="shared" si="4"/>
        <v>0</v>
      </c>
      <c r="Y55" s="41">
        <f t="shared" si="5"/>
        <v>-69</v>
      </c>
    </row>
    <row r="56" spans="2:25" ht="15.75" thickBot="1" x14ac:dyDescent="0.25">
      <c r="B56" s="559" t="s">
        <v>434</v>
      </c>
      <c r="C56" s="558"/>
      <c r="D56" s="557" t="s">
        <v>428</v>
      </c>
      <c r="E56" s="556" t="s">
        <v>433</v>
      </c>
      <c r="F56" s="527">
        <f t="shared" si="0"/>
        <v>1458</v>
      </c>
      <c r="G56" s="555">
        <f>SUM(G55)</f>
        <v>1178</v>
      </c>
      <c r="H56" s="555">
        <f>SUM(H55)</f>
        <v>0</v>
      </c>
      <c r="I56" s="555">
        <f>SUM(I55)</f>
        <v>0</v>
      </c>
      <c r="J56" s="555">
        <f>SUM(J55)</f>
        <v>280</v>
      </c>
      <c r="K56" s="527">
        <f t="shared" si="6"/>
        <v>1446</v>
      </c>
      <c r="L56" s="555">
        <f>SUM(L55)</f>
        <v>1166</v>
      </c>
      <c r="M56" s="555">
        <f>SUM(M55)</f>
        <v>0</v>
      </c>
      <c r="N56" s="555">
        <f>SUM(N55)</f>
        <v>0</v>
      </c>
      <c r="O56" s="555">
        <f>SUM(O55)</f>
        <v>280</v>
      </c>
      <c r="P56" s="527">
        <f t="shared" si="7"/>
        <v>1309</v>
      </c>
      <c r="Q56" s="555">
        <f>SUM(Q55)</f>
        <v>1098</v>
      </c>
      <c r="R56" s="555">
        <f>SUM(R55)</f>
        <v>0</v>
      </c>
      <c r="S56" s="555">
        <f>SUM(S55)</f>
        <v>0</v>
      </c>
      <c r="T56" s="534">
        <f>SUM(T55)</f>
        <v>211</v>
      </c>
      <c r="U56" s="528">
        <f t="shared" si="1"/>
        <v>-149</v>
      </c>
      <c r="V56" s="553">
        <f t="shared" si="2"/>
        <v>-80</v>
      </c>
      <c r="W56" s="553">
        <f t="shared" si="3"/>
        <v>0</v>
      </c>
      <c r="X56" s="553">
        <f t="shared" si="4"/>
        <v>0</v>
      </c>
      <c r="Y56" s="552">
        <f t="shared" si="5"/>
        <v>-69</v>
      </c>
    </row>
    <row r="57" spans="2:25" ht="15" hidden="1" thickBot="1" x14ac:dyDescent="0.25">
      <c r="B57" s="47" t="s">
        <v>432</v>
      </c>
      <c r="C57" s="46" t="s">
        <v>280</v>
      </c>
      <c r="D57" s="560" t="s">
        <v>428</v>
      </c>
      <c r="E57" s="44" t="s">
        <v>431</v>
      </c>
      <c r="F57" s="43">
        <f t="shared" si="0"/>
        <v>1627</v>
      </c>
      <c r="G57" s="42">
        <v>1583</v>
      </c>
      <c r="H57" s="42">
        <v>0</v>
      </c>
      <c r="I57" s="42">
        <v>0</v>
      </c>
      <c r="J57" s="42">
        <v>44</v>
      </c>
      <c r="K57" s="43">
        <f t="shared" si="6"/>
        <v>1611</v>
      </c>
      <c r="L57" s="42">
        <v>1567</v>
      </c>
      <c r="M57" s="42">
        <v>0</v>
      </c>
      <c r="N57" s="42">
        <v>0</v>
      </c>
      <c r="O57" s="42">
        <v>44</v>
      </c>
      <c r="P57" s="43">
        <f t="shared" si="7"/>
        <v>1533</v>
      </c>
      <c r="Q57" s="42">
        <v>1504</v>
      </c>
      <c r="R57" s="42">
        <v>0</v>
      </c>
      <c r="S57" s="42">
        <v>0</v>
      </c>
      <c r="T57" s="206">
        <v>29</v>
      </c>
      <c r="U57" s="466">
        <f t="shared" si="1"/>
        <v>-94</v>
      </c>
      <c r="V57" s="42">
        <f t="shared" si="2"/>
        <v>-79</v>
      </c>
      <c r="W57" s="42">
        <f t="shared" si="3"/>
        <v>0</v>
      </c>
      <c r="X57" s="42">
        <f t="shared" si="4"/>
        <v>0</v>
      </c>
      <c r="Y57" s="41">
        <f t="shared" si="5"/>
        <v>-15</v>
      </c>
    </row>
    <row r="58" spans="2:25" ht="15.75" thickBot="1" x14ac:dyDescent="0.25">
      <c r="B58" s="559" t="s">
        <v>432</v>
      </c>
      <c r="C58" s="558"/>
      <c r="D58" s="557" t="s">
        <v>428</v>
      </c>
      <c r="E58" s="556" t="s">
        <v>431</v>
      </c>
      <c r="F58" s="527">
        <f t="shared" si="0"/>
        <v>1627</v>
      </c>
      <c r="G58" s="555">
        <f>SUM(G57)</f>
        <v>1583</v>
      </c>
      <c r="H58" s="555">
        <f>SUM(H57)</f>
        <v>0</v>
      </c>
      <c r="I58" s="555">
        <f>SUM(I57)</f>
        <v>0</v>
      </c>
      <c r="J58" s="555">
        <f>SUM(J57)</f>
        <v>44</v>
      </c>
      <c r="K58" s="527">
        <f t="shared" si="6"/>
        <v>1611</v>
      </c>
      <c r="L58" s="555">
        <f>SUM(L57)</f>
        <v>1567</v>
      </c>
      <c r="M58" s="555">
        <f>SUM(M57)</f>
        <v>0</v>
      </c>
      <c r="N58" s="555">
        <f>SUM(N57)</f>
        <v>0</v>
      </c>
      <c r="O58" s="555">
        <f>SUM(O57)</f>
        <v>44</v>
      </c>
      <c r="P58" s="527">
        <f t="shared" si="7"/>
        <v>1533</v>
      </c>
      <c r="Q58" s="555">
        <f>SUM(Q57)</f>
        <v>1504</v>
      </c>
      <c r="R58" s="555">
        <f>SUM(R57)</f>
        <v>0</v>
      </c>
      <c r="S58" s="555">
        <f>SUM(S57)</f>
        <v>0</v>
      </c>
      <c r="T58" s="534">
        <f>SUM(T57)</f>
        <v>29</v>
      </c>
      <c r="U58" s="528">
        <f t="shared" si="1"/>
        <v>-94</v>
      </c>
      <c r="V58" s="553">
        <f t="shared" si="2"/>
        <v>-79</v>
      </c>
      <c r="W58" s="553">
        <f t="shared" si="3"/>
        <v>0</v>
      </c>
      <c r="X58" s="553">
        <f t="shared" si="4"/>
        <v>0</v>
      </c>
      <c r="Y58" s="552">
        <f t="shared" si="5"/>
        <v>-15</v>
      </c>
    </row>
    <row r="59" spans="2:25" ht="26.25" hidden="1" thickBot="1" x14ac:dyDescent="0.25">
      <c r="B59" s="47" t="s">
        <v>429</v>
      </c>
      <c r="C59" s="46" t="s">
        <v>430</v>
      </c>
      <c r="D59" s="560" t="s">
        <v>428</v>
      </c>
      <c r="E59" s="44" t="s">
        <v>427</v>
      </c>
      <c r="F59" s="43">
        <f t="shared" si="0"/>
        <v>1788</v>
      </c>
      <c r="G59" s="42">
        <v>1045</v>
      </c>
      <c r="H59" s="42">
        <v>0</v>
      </c>
      <c r="I59" s="42">
        <v>0</v>
      </c>
      <c r="J59" s="42">
        <v>743</v>
      </c>
      <c r="K59" s="43">
        <f t="shared" si="6"/>
        <v>1778</v>
      </c>
      <c r="L59" s="42">
        <v>1035</v>
      </c>
      <c r="M59" s="42">
        <v>0</v>
      </c>
      <c r="N59" s="42">
        <v>0</v>
      </c>
      <c r="O59" s="42">
        <v>743</v>
      </c>
      <c r="P59" s="43">
        <f t="shared" si="7"/>
        <v>1395</v>
      </c>
      <c r="Q59" s="42">
        <v>993</v>
      </c>
      <c r="R59" s="42">
        <v>0</v>
      </c>
      <c r="S59" s="42">
        <v>0</v>
      </c>
      <c r="T59" s="206">
        <v>402</v>
      </c>
      <c r="U59" s="466">
        <f t="shared" si="1"/>
        <v>-393</v>
      </c>
      <c r="V59" s="42">
        <f t="shared" si="2"/>
        <v>-52</v>
      </c>
      <c r="W59" s="42">
        <f t="shared" si="3"/>
        <v>0</v>
      </c>
      <c r="X59" s="42">
        <f t="shared" si="4"/>
        <v>0</v>
      </c>
      <c r="Y59" s="41">
        <f t="shared" si="5"/>
        <v>-341</v>
      </c>
    </row>
    <row r="60" spans="2:25" ht="26.25" thickBot="1" x14ac:dyDescent="0.25">
      <c r="B60" s="559" t="s">
        <v>429</v>
      </c>
      <c r="C60" s="558"/>
      <c r="D60" s="557" t="s">
        <v>428</v>
      </c>
      <c r="E60" s="556" t="s">
        <v>427</v>
      </c>
      <c r="F60" s="527">
        <f t="shared" si="0"/>
        <v>1788</v>
      </c>
      <c r="G60" s="555">
        <f>SUM(G59)</f>
        <v>1045</v>
      </c>
      <c r="H60" s="555">
        <f>SUM(H59)</f>
        <v>0</v>
      </c>
      <c r="I60" s="555">
        <f>SUM(I59)</f>
        <v>0</v>
      </c>
      <c r="J60" s="555">
        <f>SUM(J59)</f>
        <v>743</v>
      </c>
      <c r="K60" s="527">
        <f t="shared" si="6"/>
        <v>1778</v>
      </c>
      <c r="L60" s="555">
        <f>SUM(L59)</f>
        <v>1035</v>
      </c>
      <c r="M60" s="555">
        <f>SUM(M59)</f>
        <v>0</v>
      </c>
      <c r="N60" s="555">
        <f>SUM(N59)</f>
        <v>0</v>
      </c>
      <c r="O60" s="555">
        <f>SUM(O59)</f>
        <v>743</v>
      </c>
      <c r="P60" s="527">
        <f t="shared" si="7"/>
        <v>1395</v>
      </c>
      <c r="Q60" s="555">
        <f>SUM(Q59)</f>
        <v>993</v>
      </c>
      <c r="R60" s="555">
        <f>SUM(R59)</f>
        <v>0</v>
      </c>
      <c r="S60" s="555">
        <f>SUM(S59)</f>
        <v>0</v>
      </c>
      <c r="T60" s="554">
        <f>SUM(T59)</f>
        <v>402</v>
      </c>
      <c r="U60" s="528">
        <f t="shared" si="1"/>
        <v>-393</v>
      </c>
      <c r="V60" s="553">
        <f t="shared" si="2"/>
        <v>-52</v>
      </c>
      <c r="W60" s="553">
        <f t="shared" si="3"/>
        <v>0</v>
      </c>
      <c r="X60" s="553">
        <f t="shared" si="4"/>
        <v>0</v>
      </c>
      <c r="Y60" s="552">
        <f t="shared" si="5"/>
        <v>-341</v>
      </c>
    </row>
    <row r="61" spans="2:25" ht="15.75" thickBot="1" x14ac:dyDescent="0.25">
      <c r="B61" s="725" t="s">
        <v>270</v>
      </c>
      <c r="C61" s="726"/>
      <c r="D61" s="533"/>
      <c r="E61" s="532" t="s">
        <v>426</v>
      </c>
      <c r="F61" s="527">
        <f t="shared" ref="F61:T61" si="9">SUM(F22+F29+F31+F35+F39+F45+F47+F49+F52+F54+F56+F58+F60)</f>
        <v>42493</v>
      </c>
      <c r="G61" s="530">
        <f t="shared" si="9"/>
        <v>35356</v>
      </c>
      <c r="H61" s="530">
        <f t="shared" si="9"/>
        <v>0</v>
      </c>
      <c r="I61" s="530">
        <f t="shared" si="9"/>
        <v>0</v>
      </c>
      <c r="J61" s="530">
        <f t="shared" si="9"/>
        <v>7137</v>
      </c>
      <c r="K61" s="527">
        <f t="shared" si="9"/>
        <v>42209</v>
      </c>
      <c r="L61" s="530">
        <f t="shared" si="9"/>
        <v>35072</v>
      </c>
      <c r="M61" s="530">
        <f t="shared" si="9"/>
        <v>0</v>
      </c>
      <c r="N61" s="530">
        <f t="shared" si="9"/>
        <v>0</v>
      </c>
      <c r="O61" s="530">
        <f t="shared" si="9"/>
        <v>7137</v>
      </c>
      <c r="P61" s="527">
        <f t="shared" si="9"/>
        <v>38323</v>
      </c>
      <c r="Q61" s="530">
        <f t="shared" si="9"/>
        <v>33272</v>
      </c>
      <c r="R61" s="530">
        <f t="shared" si="9"/>
        <v>65</v>
      </c>
      <c r="S61" s="530">
        <f t="shared" si="9"/>
        <v>0</v>
      </c>
      <c r="T61" s="529">
        <f t="shared" si="9"/>
        <v>4986</v>
      </c>
      <c r="U61" s="528">
        <f t="shared" si="1"/>
        <v>-4170</v>
      </c>
      <c r="V61" s="553">
        <f t="shared" si="2"/>
        <v>-2084</v>
      </c>
      <c r="W61" s="553">
        <f t="shared" si="3"/>
        <v>65</v>
      </c>
      <c r="X61" s="553">
        <f t="shared" si="4"/>
        <v>0</v>
      </c>
      <c r="Y61" s="552">
        <f t="shared" si="5"/>
        <v>-2151</v>
      </c>
    </row>
    <row r="62" spans="2:25" hidden="1" x14ac:dyDescent="0.2">
      <c r="Q62" s="40">
        <f>Q60+Q58+Q56+Q54+Q52+Q49+Q47+Q45+Q39+Q35+Q31+Q29+Q22</f>
        <v>33272</v>
      </c>
    </row>
  </sheetData>
  <mergeCells count="11">
    <mergeCell ref="B61:C61"/>
    <mergeCell ref="F11:J11"/>
    <mergeCell ref="K11:O11"/>
    <mergeCell ref="P11:T11"/>
    <mergeCell ref="U11:Y11"/>
    <mergeCell ref="B12:C12"/>
    <mergeCell ref="G15:J15"/>
    <mergeCell ref="L15:O15"/>
    <mergeCell ref="Q15:T15"/>
    <mergeCell ref="V15:Y15"/>
    <mergeCell ref="R12:T12"/>
  </mergeCells>
  <pageMargins left="0.19685039370078741" right="0.27559055118110237" top="0.78740157480314965" bottom="0.78740157480314965" header="0.31496062992125984" footer="0.31496062992125984"/>
  <pageSetup paperSize="9" scale="71" firstPageNumber="66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  <ignoredErrors>
    <ignoredError sqref="Q5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A32"/>
  <sheetViews>
    <sheetView showGridLines="0" tabSelected="1" topLeftCell="A2" zoomScaleNormal="100" workbookViewId="0">
      <selection activeCell="J29" sqref="J29"/>
    </sheetView>
  </sheetViews>
  <sheetFormatPr defaultRowHeight="12.75" x14ac:dyDescent="0.2"/>
  <cols>
    <col min="1" max="1" width="0.140625" style="24" customWidth="1"/>
    <col min="2" max="2" width="46.28515625" style="24" customWidth="1"/>
    <col min="3" max="7" width="17.42578125" style="24" customWidth="1"/>
    <col min="8" max="16384" width="9.140625" style="24"/>
  </cols>
  <sheetData>
    <row r="1" spans="2:7" ht="12.75" hidden="1" customHeight="1" x14ac:dyDescent="0.2">
      <c r="D1"/>
      <c r="E1"/>
    </row>
    <row r="2" spans="2:7" ht="23.25" x14ac:dyDescent="0.35">
      <c r="B2" s="98" t="s">
        <v>99</v>
      </c>
      <c r="C2" s="34"/>
      <c r="D2"/>
      <c r="E2"/>
      <c r="F2" s="33"/>
      <c r="G2" s="32" t="s">
        <v>98</v>
      </c>
    </row>
    <row r="3" spans="2:7" ht="15" x14ac:dyDescent="0.2">
      <c r="B3" s="97" t="s">
        <v>204</v>
      </c>
      <c r="D3"/>
      <c r="E3"/>
      <c r="F3" s="717"/>
      <c r="G3" s="717"/>
    </row>
    <row r="4" spans="2:7" ht="15" x14ac:dyDescent="0.2">
      <c r="B4" s="97" t="s">
        <v>161</v>
      </c>
      <c r="D4"/>
      <c r="E4"/>
      <c r="F4" s="744" t="s">
        <v>4</v>
      </c>
      <c r="G4" s="738"/>
    </row>
    <row r="5" spans="2:7" ht="7.5" customHeight="1" thickBot="1" x14ac:dyDescent="0.25">
      <c r="D5" s="102"/>
      <c r="E5" s="102"/>
      <c r="F5" s="711"/>
      <c r="G5" s="711"/>
    </row>
    <row r="6" spans="2:7" ht="26.1" customHeight="1" thickTop="1" x14ac:dyDescent="0.25">
      <c r="B6" s="320"/>
      <c r="C6" s="721">
        <v>2014</v>
      </c>
      <c r="D6" s="710"/>
      <c r="E6" s="647"/>
      <c r="F6" s="721" t="s">
        <v>231</v>
      </c>
      <c r="G6" s="710"/>
    </row>
    <row r="7" spans="2:7" ht="12.75" customHeight="1" x14ac:dyDescent="0.2">
      <c r="B7" s="722" t="s">
        <v>51</v>
      </c>
      <c r="C7" s="701" t="s">
        <v>217</v>
      </c>
      <c r="D7" s="703" t="s">
        <v>229</v>
      </c>
      <c r="E7" s="705" t="s">
        <v>536</v>
      </c>
      <c r="F7" s="331"/>
      <c r="G7" s="332"/>
    </row>
    <row r="8" spans="2:7" ht="34.5" customHeight="1" thickBot="1" x14ac:dyDescent="0.25">
      <c r="B8" s="723"/>
      <c r="C8" s="702"/>
      <c r="D8" s="704"/>
      <c r="E8" s="706"/>
      <c r="F8" s="329" t="s">
        <v>553</v>
      </c>
      <c r="G8" s="330" t="s">
        <v>552</v>
      </c>
    </row>
    <row r="9" spans="2:7" ht="14.25" thickTop="1" thickBot="1" x14ac:dyDescent="0.25">
      <c r="B9" s="321"/>
      <c r="C9" s="274" t="s">
        <v>230</v>
      </c>
      <c r="D9" s="224" t="s">
        <v>50</v>
      </c>
      <c r="E9" s="224" t="s">
        <v>49</v>
      </c>
      <c r="F9" s="274" t="s">
        <v>541</v>
      </c>
      <c r="G9" s="224" t="s">
        <v>542</v>
      </c>
    </row>
    <row r="10" spans="2:7" s="99" customFormat="1" ht="15.95" customHeight="1" x14ac:dyDescent="0.25">
      <c r="B10" s="322" t="s">
        <v>48</v>
      </c>
      <c r="C10" s="312">
        <f>SUM(C12:C14)</f>
        <v>145880</v>
      </c>
      <c r="D10" s="313">
        <f>SUM(D12:D14)</f>
        <v>183339</v>
      </c>
      <c r="E10" s="313">
        <f>SUM(E12:E14)</f>
        <v>195546</v>
      </c>
      <c r="F10" s="312">
        <f>E10-C10</f>
        <v>49666</v>
      </c>
      <c r="G10" s="333">
        <f>E10/C10-1</f>
        <v>0.34045791061146158</v>
      </c>
    </row>
    <row r="11" spans="2:7" x14ac:dyDescent="0.2">
      <c r="B11" s="323" t="s">
        <v>47</v>
      </c>
      <c r="C11" s="307"/>
      <c r="D11" s="308"/>
      <c r="E11" s="308"/>
      <c r="F11" s="319"/>
      <c r="G11" s="334"/>
    </row>
    <row r="12" spans="2:7" ht="15.95" customHeight="1" x14ac:dyDescent="0.2">
      <c r="B12" s="324" t="s">
        <v>46</v>
      </c>
      <c r="C12" s="316">
        <f>'PO - sociálníci'!G46-'PO - sociálníci'!G13</f>
        <v>114306</v>
      </c>
      <c r="D12" s="317">
        <f>'PO - sociálníci'!L46-'PO - sociálníci'!L13</f>
        <v>149045</v>
      </c>
      <c r="E12" s="317">
        <f>'PO - sociálníci'!AB46-'PO - sociálníci'!AB13</f>
        <v>145683</v>
      </c>
      <c r="F12" s="316">
        <f t="shared" ref="F12:F16" si="0">E12-C12</f>
        <v>31377</v>
      </c>
      <c r="G12" s="648">
        <f t="shared" ref="G12:G16" si="1">E12/C12-1</f>
        <v>0.27450002624534142</v>
      </c>
    </row>
    <row r="13" spans="2:7" ht="15.95" customHeight="1" x14ac:dyDescent="0.2">
      <c r="B13" s="324" t="s">
        <v>45</v>
      </c>
      <c r="C13" s="316">
        <f>'PO - sociálníci'!H46-'PO - sociálníci'!H13</f>
        <v>0</v>
      </c>
      <c r="D13" s="317">
        <f>'PO - sociálníci'!M46-'PO - sociálníci'!M13</f>
        <v>0</v>
      </c>
      <c r="E13" s="317">
        <v>0</v>
      </c>
      <c r="F13" s="316">
        <f t="shared" si="0"/>
        <v>0</v>
      </c>
      <c r="G13" s="648"/>
    </row>
    <row r="14" spans="2:7" ht="15.95" customHeight="1" x14ac:dyDescent="0.2">
      <c r="B14" s="324" t="s">
        <v>44</v>
      </c>
      <c r="C14" s="316">
        <f>'PO - sociálníci'!J46-'PO - sociálníci'!J13</f>
        <v>31574</v>
      </c>
      <c r="D14" s="317">
        <f>'PO - sociálníci'!O46-'PO - sociálníci'!O13</f>
        <v>34294</v>
      </c>
      <c r="E14" s="317">
        <f>'PO - sociálníci'!AE46</f>
        <v>49863</v>
      </c>
      <c r="F14" s="316">
        <f t="shared" si="0"/>
        <v>18289</v>
      </c>
      <c r="G14" s="648">
        <f t="shared" si="1"/>
        <v>0.57924241464496107</v>
      </c>
    </row>
    <row r="15" spans="2:7" s="77" customFormat="1" ht="15.95" customHeight="1" x14ac:dyDescent="0.25">
      <c r="B15" s="325" t="s">
        <v>43</v>
      </c>
      <c r="C15" s="314">
        <f>'PO - sociálníci'!G13</f>
        <v>89120</v>
      </c>
      <c r="D15" s="315">
        <f>'PO - sociálníci'!L13</f>
        <v>5000</v>
      </c>
      <c r="E15" s="315">
        <f>'PO - sociálníci'!AB13</f>
        <v>0</v>
      </c>
      <c r="F15" s="314">
        <f t="shared" si="0"/>
        <v>-89120</v>
      </c>
      <c r="G15" s="335">
        <f t="shared" si="1"/>
        <v>-1</v>
      </c>
    </row>
    <row r="16" spans="2:7" s="77" customFormat="1" ht="15.95" customHeight="1" thickBot="1" x14ac:dyDescent="0.3">
      <c r="B16" s="326" t="s">
        <v>40</v>
      </c>
      <c r="C16" s="327">
        <f>C15+C10</f>
        <v>235000</v>
      </c>
      <c r="D16" s="328">
        <f>D15+D10</f>
        <v>188339</v>
      </c>
      <c r="E16" s="328">
        <f>E15+E10</f>
        <v>195546</v>
      </c>
      <c r="F16" s="327">
        <f t="shared" si="0"/>
        <v>-39454</v>
      </c>
      <c r="G16" s="336">
        <f t="shared" si="1"/>
        <v>-0.16788936170212765</v>
      </c>
    </row>
    <row r="17" spans="1:27" s="73" customFormat="1" ht="15.95" hidden="1" customHeight="1" x14ac:dyDescent="0.25">
      <c r="B17" s="214"/>
      <c r="C17" s="219"/>
      <c r="D17" s="219"/>
      <c r="E17" s="211"/>
      <c r="F17" s="215"/>
      <c r="G17" s="215"/>
    </row>
    <row r="18" spans="1:27" s="73" customFormat="1" ht="15.95" hidden="1" customHeight="1" thickBot="1" x14ac:dyDescent="0.3">
      <c r="B18" s="214"/>
      <c r="C18" s="213"/>
      <c r="D18" s="213"/>
      <c r="E18" s="211"/>
      <c r="F18" s="215"/>
      <c r="G18" s="215"/>
    </row>
    <row r="19" spans="1:27" ht="24.75" hidden="1" customHeight="1" thickTop="1" x14ac:dyDescent="0.2">
      <c r="B19" s="191" t="s">
        <v>208</v>
      </c>
    </row>
    <row r="20" spans="1:27" ht="9.75" customHeight="1" thickTop="1" x14ac:dyDescent="0.2">
      <c r="D20" s="71"/>
      <c r="E20" s="71"/>
    </row>
    <row r="21" spans="1:27" s="89" customFormat="1" ht="15.75" x14ac:dyDescent="0.25">
      <c r="A21" s="84"/>
      <c r="B21" s="80"/>
      <c r="C21" s="86"/>
      <c r="D21" s="86"/>
      <c r="E21" s="86"/>
      <c r="F21" s="86"/>
      <c r="G21" s="87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</row>
    <row r="22" spans="1:27" customFormat="1" ht="32.25" customHeight="1" x14ac:dyDescent="0.2">
      <c r="B22" s="745"/>
      <c r="C22" s="746"/>
      <c r="D22" s="318"/>
      <c r="E22" s="311"/>
      <c r="F22" s="281"/>
      <c r="G22" s="281"/>
    </row>
    <row r="23" spans="1:27" s="89" customFormat="1" ht="3" customHeight="1" x14ac:dyDescent="0.25">
      <c r="A23" s="84"/>
      <c r="B23" s="180"/>
      <c r="C23" s="180"/>
      <c r="D23" s="180"/>
      <c r="E23" s="180"/>
      <c r="F23" s="180"/>
      <c r="G23" s="180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</row>
    <row r="24" spans="1:27" s="89" customFormat="1" ht="15.75" x14ac:dyDescent="0.25">
      <c r="A24" s="84"/>
      <c r="B24" s="90"/>
      <c r="C24" s="85"/>
      <c r="D24" s="110"/>
      <c r="E24" s="110"/>
      <c r="F24" s="81"/>
      <c r="G24" s="81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</row>
    <row r="25" spans="1:27" s="89" customFormat="1" ht="15.75" x14ac:dyDescent="0.25">
      <c r="A25" s="84"/>
      <c r="B25" s="741"/>
      <c r="C25" s="742"/>
      <c r="D25" s="742"/>
      <c r="E25" s="742"/>
      <c r="F25" s="743"/>
      <c r="G25" s="743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</row>
    <row r="26" spans="1:27" s="89" customFormat="1" ht="15.75" x14ac:dyDescent="0.25">
      <c r="A26" s="84"/>
      <c r="B26" s="742"/>
      <c r="C26" s="742"/>
      <c r="D26" s="742"/>
      <c r="E26" s="742"/>
      <c r="F26" s="743"/>
      <c r="G26" s="743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</row>
    <row r="27" spans="1:27" s="89" customFormat="1" ht="15.75" x14ac:dyDescent="0.25">
      <c r="A27" s="84"/>
      <c r="B27" s="85"/>
      <c r="C27" s="85"/>
      <c r="D27" s="81"/>
      <c r="E27" s="81"/>
      <c r="F27" s="81"/>
      <c r="G27" s="81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</row>
    <row r="28" spans="1:27" customFormat="1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</row>
    <row r="29" spans="1:27" customFormat="1" x14ac:dyDescent="0.2">
      <c r="A29" s="82"/>
      <c r="B29" s="24"/>
      <c r="C29" s="24"/>
      <c r="D29" s="24"/>
      <c r="E29" s="24"/>
      <c r="F29" s="24"/>
      <c r="G29" s="24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</row>
    <row r="30" spans="1:27" customFormat="1" x14ac:dyDescent="0.2">
      <c r="A30" s="82"/>
      <c r="B30" s="24"/>
      <c r="C30" s="24"/>
      <c r="D30" s="24"/>
      <c r="E30" s="24"/>
      <c r="F30" s="24"/>
      <c r="G30" s="24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</row>
    <row r="31" spans="1:27" customFormat="1" x14ac:dyDescent="0.2">
      <c r="A31" s="82"/>
      <c r="B31" s="24"/>
      <c r="C31" s="24"/>
      <c r="D31" s="24"/>
      <c r="E31" s="24"/>
      <c r="F31" s="24"/>
      <c r="G31" s="24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</row>
    <row r="32" spans="1:27" customFormat="1" x14ac:dyDescent="0.2">
      <c r="A32" s="82"/>
      <c r="B32" s="24"/>
      <c r="C32" s="24"/>
      <c r="D32" s="24"/>
      <c r="E32" s="24"/>
      <c r="F32" s="24"/>
      <c r="G32" s="24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</row>
  </sheetData>
  <sheetProtection selectLockedCells="1"/>
  <mergeCells count="10">
    <mergeCell ref="B25:G26"/>
    <mergeCell ref="B7:B8"/>
    <mergeCell ref="C7:C8"/>
    <mergeCell ref="F3:G3"/>
    <mergeCell ref="F4:G5"/>
    <mergeCell ref="F6:G6"/>
    <mergeCell ref="C6:D6"/>
    <mergeCell ref="E7:E8"/>
    <mergeCell ref="B22:C22"/>
    <mergeCell ref="D7:D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8" firstPageNumber="67" fitToHeight="9999" orientation="landscape" useFirstPageNumber="1" r:id="rId1"/>
  <headerFooter>
    <oddFooter>&amp;L&amp;"Arial,Kurzíva"Zastupitelstvo Olomouckého kraje 12-12-2014
6. - Rozpočet Olomouckého kraje 2015 - návrh rozpočtu
Příloha č. 3b): Příspěvkové organizace zřizované Olomouckým krajem&amp;R&amp;"Arial,Kurzíva"Strana &amp;P (celkem 127)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2:AJ55"/>
  <sheetViews>
    <sheetView showGridLines="0" tabSelected="1" topLeftCell="F7" zoomScaleNormal="100" workbookViewId="0">
      <selection activeCell="J29" sqref="J29"/>
    </sheetView>
  </sheetViews>
  <sheetFormatPr defaultRowHeight="12.75" x14ac:dyDescent="0.2"/>
  <cols>
    <col min="1" max="1" width="1.7109375" style="71" customWidth="1"/>
    <col min="2" max="2" width="14.7109375" style="24" hidden="1" customWidth="1"/>
    <col min="3" max="3" width="4.7109375" style="24" hidden="1" customWidth="1"/>
    <col min="4" max="4" width="10.7109375" style="24" hidden="1" customWidth="1"/>
    <col min="5" max="5" width="47.5703125" style="24" customWidth="1"/>
    <col min="6" max="6" width="12.7109375" style="40" customWidth="1"/>
    <col min="7" max="10" width="9.7109375" style="40" customWidth="1"/>
    <col min="11" max="11" width="12.7109375" style="40" customWidth="1"/>
    <col min="12" max="15" width="9.7109375" style="40" customWidth="1"/>
    <col min="16" max="16" width="12.7109375" style="40" hidden="1" customWidth="1"/>
    <col min="17" max="17" width="12" style="210" hidden="1" customWidth="1"/>
    <col min="18" max="21" width="9.7109375" style="210" hidden="1" customWidth="1"/>
    <col min="22" max="22" width="12.7109375" style="40" hidden="1" customWidth="1"/>
    <col min="23" max="26" width="9.7109375" style="40" hidden="1" customWidth="1"/>
    <col min="27" max="27" width="12.7109375" style="40" customWidth="1"/>
    <col min="28" max="28" width="12" style="210" customWidth="1"/>
    <col min="29" max="31" width="9.7109375" style="210" customWidth="1"/>
    <col min="32" max="32" width="9.7109375" style="210" hidden="1" customWidth="1"/>
    <col min="33" max="33" width="13.42578125" style="181" hidden="1" customWidth="1"/>
    <col min="34" max="34" width="12.85546875" style="24" hidden="1" customWidth="1"/>
    <col min="35" max="35" width="10" style="71" hidden="1" customWidth="1"/>
    <col min="36" max="36" width="9.140625" style="24" hidden="1" customWidth="1"/>
    <col min="37" max="40" width="0" style="24" hidden="1" customWidth="1"/>
    <col min="41" max="16384" width="9.140625" style="24"/>
  </cols>
  <sheetData>
    <row r="2" spans="1:36" ht="21.75" x14ac:dyDescent="0.3">
      <c r="E2" s="69" t="s">
        <v>99</v>
      </c>
      <c r="F2" s="68"/>
      <c r="G2" s="68"/>
      <c r="H2" s="68"/>
      <c r="I2" s="67"/>
      <c r="J2" s="67"/>
      <c r="K2" s="65"/>
      <c r="L2" s="65"/>
      <c r="M2" s="65"/>
      <c r="N2" s="65"/>
      <c r="O2" s="65"/>
      <c r="P2" s="65"/>
      <c r="Q2" s="200"/>
      <c r="R2" s="200"/>
      <c r="S2" s="200"/>
      <c r="T2" s="200"/>
      <c r="U2" s="200"/>
      <c r="V2" s="65"/>
      <c r="W2" s="65"/>
      <c r="X2" s="66" t="s">
        <v>98</v>
      </c>
      <c r="Y2" s="65"/>
      <c r="Z2" s="65" t="s">
        <v>98</v>
      </c>
      <c r="AA2" s="65"/>
      <c r="AB2" s="200"/>
      <c r="AC2" s="200"/>
      <c r="AD2" s="200"/>
      <c r="AE2" s="200" t="s">
        <v>98</v>
      </c>
      <c r="AF2" s="200"/>
    </row>
    <row r="3" spans="1:36" ht="15.75" x14ac:dyDescent="0.25">
      <c r="E3" s="64" t="s">
        <v>204</v>
      </c>
      <c r="F3" s="64"/>
      <c r="G3" s="63"/>
      <c r="H3" s="62"/>
      <c r="I3" s="61"/>
      <c r="J3" s="61"/>
      <c r="K3" s="60"/>
      <c r="L3" s="60"/>
      <c r="M3" s="60"/>
      <c r="N3" s="60"/>
      <c r="O3" s="60"/>
      <c r="P3" s="60"/>
      <c r="Q3" s="201"/>
      <c r="R3" s="201"/>
      <c r="S3" s="201"/>
      <c r="T3" s="201"/>
      <c r="U3" s="201"/>
      <c r="V3" s="60"/>
      <c r="W3" s="60"/>
      <c r="X3" s="60"/>
      <c r="Y3" s="60"/>
      <c r="Z3" s="60"/>
      <c r="AA3" s="60"/>
      <c r="AB3" s="201"/>
      <c r="AC3" s="201"/>
      <c r="AD3" s="201"/>
      <c r="AE3" s="201"/>
      <c r="AF3" s="201"/>
    </row>
    <row r="4" spans="1:36" ht="15.75" x14ac:dyDescent="0.25">
      <c r="E4" s="63" t="s">
        <v>161</v>
      </c>
      <c r="F4" s="64"/>
      <c r="G4" s="63"/>
      <c r="H4" s="62"/>
      <c r="I4" s="61"/>
      <c r="J4" s="61"/>
      <c r="K4" s="60"/>
      <c r="L4" s="60"/>
      <c r="M4" s="60"/>
      <c r="N4" s="60"/>
      <c r="O4" s="60"/>
      <c r="P4" s="60"/>
      <c r="Q4" s="201"/>
      <c r="R4" s="201"/>
      <c r="S4" s="201"/>
      <c r="T4" s="201"/>
      <c r="U4" s="201"/>
      <c r="V4" s="60"/>
      <c r="W4" s="60"/>
      <c r="X4" s="60"/>
      <c r="Y4" s="60"/>
      <c r="Z4" s="60"/>
      <c r="AA4" s="60"/>
      <c r="AB4" s="201"/>
      <c r="AC4" s="201"/>
      <c r="AD4" s="201"/>
      <c r="AE4" s="201"/>
      <c r="AF4" s="201"/>
    </row>
    <row r="5" spans="1:36" ht="18" x14ac:dyDescent="0.25">
      <c r="B5" s="59"/>
      <c r="C5" s="59"/>
      <c r="D5" s="59"/>
      <c r="E5" s="59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202"/>
      <c r="R5" s="202"/>
      <c r="S5" s="202"/>
      <c r="T5" s="202"/>
      <c r="U5" s="202"/>
      <c r="V5" s="58"/>
      <c r="W5" s="58"/>
      <c r="X5" s="58"/>
      <c r="Y5" s="58"/>
      <c r="Z5" s="58"/>
      <c r="AA5" s="58"/>
      <c r="AB5" s="202"/>
      <c r="AC5" s="202"/>
      <c r="AD5" s="202"/>
      <c r="AE5" s="202"/>
      <c r="AF5" s="202"/>
    </row>
    <row r="7" spans="1:36" ht="13.5" thickBot="1" x14ac:dyDescent="0.25">
      <c r="B7" s="57"/>
      <c r="C7" s="57"/>
      <c r="D7" s="57"/>
      <c r="E7" s="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203"/>
      <c r="R7" s="203"/>
      <c r="S7" s="203"/>
      <c r="T7" s="203"/>
      <c r="U7" s="203"/>
      <c r="V7" s="56"/>
      <c r="W7" s="56"/>
      <c r="X7" s="56"/>
      <c r="Y7" s="56"/>
      <c r="Z7" s="56" t="s">
        <v>4</v>
      </c>
      <c r="AA7" s="56"/>
      <c r="AB7" s="203"/>
      <c r="AC7" s="203"/>
      <c r="AD7" s="203"/>
      <c r="AE7" s="203" t="s">
        <v>4</v>
      </c>
      <c r="AF7" s="203"/>
    </row>
    <row r="8" spans="1:36" x14ac:dyDescent="0.2">
      <c r="B8" s="248"/>
      <c r="C8" s="250"/>
      <c r="D8" s="248"/>
      <c r="E8" s="248"/>
      <c r="F8" s="727" t="s">
        <v>217</v>
      </c>
      <c r="G8" s="728"/>
      <c r="H8" s="728"/>
      <c r="I8" s="728"/>
      <c r="J8" s="729"/>
      <c r="K8" s="749" t="s">
        <v>216</v>
      </c>
      <c r="L8" s="750"/>
      <c r="M8" s="750"/>
      <c r="N8" s="750"/>
      <c r="O8" s="750"/>
      <c r="P8" s="727" t="s">
        <v>228</v>
      </c>
      <c r="Q8" s="728"/>
      <c r="R8" s="728"/>
      <c r="S8" s="728"/>
      <c r="T8" s="729"/>
      <c r="U8" s="282"/>
      <c r="V8" s="754" t="s">
        <v>5</v>
      </c>
      <c r="W8" s="755"/>
      <c r="X8" s="755"/>
      <c r="Y8" s="755"/>
      <c r="Z8" s="756"/>
      <c r="AA8" s="727" t="s">
        <v>538</v>
      </c>
      <c r="AB8" s="728"/>
      <c r="AC8" s="728"/>
      <c r="AD8" s="728"/>
      <c r="AE8" s="729"/>
      <c r="AF8" s="299"/>
      <c r="AJ8" s="590"/>
    </row>
    <row r="9" spans="1:36" ht="18" customHeight="1" x14ac:dyDescent="0.2">
      <c r="B9" s="730" t="s">
        <v>6</v>
      </c>
      <c r="C9" s="731"/>
      <c r="D9" s="251" t="s">
        <v>7</v>
      </c>
      <c r="E9" s="252" t="s">
        <v>8</v>
      </c>
      <c r="F9" s="253"/>
      <c r="G9" s="254" t="s">
        <v>9</v>
      </c>
      <c r="H9" s="253"/>
      <c r="I9" s="253"/>
      <c r="J9" s="253"/>
      <c r="K9" s="255"/>
      <c r="L9" s="254" t="s">
        <v>9</v>
      </c>
      <c r="M9" s="253"/>
      <c r="N9" s="253"/>
      <c r="O9" s="253"/>
      <c r="P9" s="255"/>
      <c r="Q9" s="254" t="s">
        <v>9</v>
      </c>
      <c r="R9" s="256"/>
      <c r="S9" s="256"/>
      <c r="T9" s="257"/>
      <c r="U9" s="256"/>
      <c r="V9" s="55"/>
      <c r="W9" s="54" t="s">
        <v>9</v>
      </c>
      <c r="X9" s="53"/>
      <c r="Y9" s="53"/>
      <c r="Z9" s="52"/>
      <c r="AA9" s="255"/>
      <c r="AB9" s="254" t="s">
        <v>9</v>
      </c>
      <c r="AC9" s="256"/>
      <c r="AD9" s="256"/>
      <c r="AE9" s="257"/>
      <c r="AF9" s="300"/>
      <c r="AJ9" s="590"/>
    </row>
    <row r="10" spans="1:36" ht="48" customHeight="1" x14ac:dyDescent="0.2">
      <c r="B10" s="258"/>
      <c r="C10" s="259"/>
      <c r="D10" s="258"/>
      <c r="E10" s="258"/>
      <c r="F10" s="260" t="s">
        <v>10</v>
      </c>
      <c r="G10" s="261" t="s">
        <v>11</v>
      </c>
      <c r="H10" s="261" t="s">
        <v>12</v>
      </c>
      <c r="I10" s="261" t="s">
        <v>13</v>
      </c>
      <c r="J10" s="261" t="s">
        <v>14</v>
      </c>
      <c r="K10" s="260" t="s">
        <v>10</v>
      </c>
      <c r="L10" s="261" t="s">
        <v>11</v>
      </c>
      <c r="M10" s="261" t="s">
        <v>12</v>
      </c>
      <c r="N10" s="261" t="s">
        <v>13</v>
      </c>
      <c r="O10" s="261" t="s">
        <v>14</v>
      </c>
      <c r="P10" s="260" t="s">
        <v>10</v>
      </c>
      <c r="Q10" s="261" t="s">
        <v>11</v>
      </c>
      <c r="R10" s="261" t="s">
        <v>12</v>
      </c>
      <c r="S10" s="261" t="s">
        <v>13</v>
      </c>
      <c r="T10" s="262" t="s">
        <v>14</v>
      </c>
      <c r="U10" s="262" t="s">
        <v>225</v>
      </c>
      <c r="V10" s="51" t="s">
        <v>10</v>
      </c>
      <c r="W10" s="50" t="s">
        <v>11</v>
      </c>
      <c r="X10" s="50" t="s">
        <v>12</v>
      </c>
      <c r="Y10" s="50" t="s">
        <v>13</v>
      </c>
      <c r="Z10" s="49" t="s">
        <v>14</v>
      </c>
      <c r="AA10" s="260" t="s">
        <v>10</v>
      </c>
      <c r="AB10" s="261" t="s">
        <v>11</v>
      </c>
      <c r="AC10" s="261" t="s">
        <v>12</v>
      </c>
      <c r="AD10" s="261" t="s">
        <v>13</v>
      </c>
      <c r="AE10" s="262" t="s">
        <v>14</v>
      </c>
      <c r="AF10" s="301" t="s">
        <v>225</v>
      </c>
      <c r="AG10" s="181" t="s">
        <v>218</v>
      </c>
      <c r="AI10" s="71" t="s">
        <v>219</v>
      </c>
      <c r="AJ10" s="591"/>
    </row>
    <row r="11" spans="1:36" ht="13.5" thickBot="1" x14ac:dyDescent="0.25">
      <c r="B11" s="263" t="s">
        <v>15</v>
      </c>
      <c r="C11" s="264" t="s">
        <v>16</v>
      </c>
      <c r="D11" s="221"/>
      <c r="E11" s="221"/>
      <c r="F11" s="222"/>
      <c r="G11" s="223" t="s">
        <v>17</v>
      </c>
      <c r="H11" s="223" t="s">
        <v>18</v>
      </c>
      <c r="I11" s="223" t="s">
        <v>19</v>
      </c>
      <c r="J11" s="223" t="s">
        <v>20</v>
      </c>
      <c r="K11" s="222"/>
      <c r="L11" s="223" t="s">
        <v>17</v>
      </c>
      <c r="M11" s="223" t="s">
        <v>18</v>
      </c>
      <c r="N11" s="223" t="s">
        <v>19</v>
      </c>
      <c r="O11" s="223" t="s">
        <v>20</v>
      </c>
      <c r="P11" s="222"/>
      <c r="Q11" s="223" t="s">
        <v>17</v>
      </c>
      <c r="R11" s="223" t="s">
        <v>18</v>
      </c>
      <c r="S11" s="223" t="s">
        <v>19</v>
      </c>
      <c r="T11" s="249" t="s">
        <v>20</v>
      </c>
      <c r="U11" s="249" t="s">
        <v>226</v>
      </c>
      <c r="V11" s="30"/>
      <c r="W11" s="29" t="s">
        <v>17</v>
      </c>
      <c r="X11" s="29" t="s">
        <v>18</v>
      </c>
      <c r="Y11" s="29" t="s">
        <v>19</v>
      </c>
      <c r="Z11" s="28" t="s">
        <v>20</v>
      </c>
      <c r="AA11" s="222"/>
      <c r="AB11" s="223" t="s">
        <v>17</v>
      </c>
      <c r="AC11" s="223" t="s">
        <v>18</v>
      </c>
      <c r="AD11" s="223" t="s">
        <v>19</v>
      </c>
      <c r="AE11" s="249" t="s">
        <v>20</v>
      </c>
      <c r="AF11" s="302" t="s">
        <v>226</v>
      </c>
      <c r="AJ11" s="593"/>
    </row>
    <row r="12" spans="1:36" ht="13.5" thickBot="1" x14ac:dyDescent="0.25">
      <c r="B12" s="265"/>
      <c r="C12" s="266"/>
      <c r="D12" s="265"/>
      <c r="E12" s="265"/>
      <c r="F12" s="267" t="s">
        <v>21</v>
      </c>
      <c r="G12" s="732" t="s">
        <v>21</v>
      </c>
      <c r="H12" s="733"/>
      <c r="I12" s="733"/>
      <c r="J12" s="734"/>
      <c r="K12" s="267" t="s">
        <v>21</v>
      </c>
      <c r="L12" s="732" t="s">
        <v>21</v>
      </c>
      <c r="M12" s="733"/>
      <c r="N12" s="733"/>
      <c r="O12" s="734"/>
      <c r="P12" s="267" t="s">
        <v>21</v>
      </c>
      <c r="Q12" s="732" t="s">
        <v>21</v>
      </c>
      <c r="R12" s="733"/>
      <c r="S12" s="733"/>
      <c r="T12" s="734"/>
      <c r="U12" s="283"/>
      <c r="V12" s="48" t="s">
        <v>21</v>
      </c>
      <c r="W12" s="751" t="s">
        <v>21</v>
      </c>
      <c r="X12" s="752"/>
      <c r="Y12" s="752"/>
      <c r="Z12" s="753"/>
      <c r="AA12" s="267" t="s">
        <v>21</v>
      </c>
      <c r="AB12" s="732" t="s">
        <v>21</v>
      </c>
      <c r="AC12" s="733"/>
      <c r="AD12" s="733"/>
      <c r="AE12" s="734"/>
      <c r="AF12" s="303"/>
      <c r="AI12" s="279">
        <v>0.8</v>
      </c>
      <c r="AJ12" s="592"/>
    </row>
    <row r="13" spans="1:36" ht="15" thickBot="1" x14ac:dyDescent="0.25">
      <c r="B13" s="47" t="s">
        <v>96</v>
      </c>
      <c r="C13" s="46" t="s">
        <v>97</v>
      </c>
      <c r="D13" s="45"/>
      <c r="E13" s="44" t="s">
        <v>100</v>
      </c>
      <c r="F13" s="43">
        <f>SUM(G13:J13)</f>
        <v>89120</v>
      </c>
      <c r="G13" s="275">
        <v>89120</v>
      </c>
      <c r="H13" s="276"/>
      <c r="I13" s="276"/>
      <c r="J13" s="277"/>
      <c r="K13" s="43">
        <f>SUM(L13:O13)</f>
        <v>5000</v>
      </c>
      <c r="L13" s="42">
        <v>5000</v>
      </c>
      <c r="M13" s="42"/>
      <c r="N13" s="42"/>
      <c r="O13" s="42"/>
      <c r="P13" s="43">
        <f>SUM(Q13:T13)</f>
        <v>0</v>
      </c>
      <c r="Q13" s="510"/>
      <c r="R13" s="297"/>
      <c r="S13" s="205"/>
      <c r="T13" s="206"/>
      <c r="U13" s="297"/>
      <c r="V13" s="43">
        <f>SUM(W13:Z13)</f>
        <v>-89120</v>
      </c>
      <c r="W13" s="70">
        <f t="shared" ref="W13:W45" si="0">Q13-G13</f>
        <v>-89120</v>
      </c>
      <c r="X13" s="70">
        <f t="shared" ref="X13:X45" si="1">R13-H13</f>
        <v>0</v>
      </c>
      <c r="Y13" s="70">
        <f t="shared" ref="Y13:Y45" si="2">S13-I13</f>
        <v>0</v>
      </c>
      <c r="Z13" s="41">
        <f t="shared" ref="Z13:Z45" si="3">T13-J13</f>
        <v>0</v>
      </c>
      <c r="AA13" s="43">
        <f>SUM(AB13:AE13)</f>
        <v>0</v>
      </c>
      <c r="AB13" s="204"/>
      <c r="AC13" s="205"/>
      <c r="AD13" s="205"/>
      <c r="AE13" s="206"/>
      <c r="AF13" s="304"/>
      <c r="AJ13" s="588"/>
    </row>
    <row r="14" spans="1:36" ht="15" thickBot="1" x14ac:dyDescent="0.25">
      <c r="B14" s="47" t="s">
        <v>95</v>
      </c>
      <c r="C14" s="46" t="s">
        <v>58</v>
      </c>
      <c r="D14" s="45"/>
      <c r="E14" s="199" t="s">
        <v>94</v>
      </c>
      <c r="F14" s="43">
        <f t="shared" ref="F14:F45" si="4">SUM(G14:J14)</f>
        <v>1840</v>
      </c>
      <c r="G14" s="275">
        <v>1404</v>
      </c>
      <c r="H14" s="276"/>
      <c r="I14" s="276"/>
      <c r="J14" s="277">
        <v>436</v>
      </c>
      <c r="K14" s="43">
        <f t="shared" ref="K14:K45" si="5">SUM(L14:O14)</f>
        <v>2303</v>
      </c>
      <c r="L14" s="42">
        <v>1867</v>
      </c>
      <c r="M14" s="42"/>
      <c r="N14" s="42"/>
      <c r="O14" s="277">
        <v>436</v>
      </c>
      <c r="P14" s="43">
        <f t="shared" ref="P14:P45" si="6">SUM(Q14:T14)</f>
        <v>2313</v>
      </c>
      <c r="Q14" s="511">
        <f>'[1]návrh 2015'!$F$148</f>
        <v>1867</v>
      </c>
      <c r="R14" s="509"/>
      <c r="S14" s="276"/>
      <c r="T14" s="278">
        <f>'[1]návrh 2015'!$F$150</f>
        <v>446</v>
      </c>
      <c r="U14" s="278">
        <f>'[1]návrh 2015'!AY140</f>
        <v>4141</v>
      </c>
      <c r="V14" s="43">
        <f t="shared" ref="V14:V45" si="7">SUM(W14:Z14)</f>
        <v>473</v>
      </c>
      <c r="W14" s="70">
        <f t="shared" si="0"/>
        <v>463</v>
      </c>
      <c r="X14" s="70">
        <f t="shared" si="1"/>
        <v>0</v>
      </c>
      <c r="Y14" s="70">
        <f t="shared" si="2"/>
        <v>0</v>
      </c>
      <c r="Z14" s="41">
        <f t="shared" si="3"/>
        <v>10</v>
      </c>
      <c r="AA14" s="43">
        <f>SUM(AB14:AE14)</f>
        <v>2330</v>
      </c>
      <c r="AB14" s="204">
        <f>1867-120-40-AJ14</f>
        <v>1696</v>
      </c>
      <c r="AC14" s="205"/>
      <c r="AD14" s="205"/>
      <c r="AE14" s="206">
        <f>ROUND(AG14/1000,0)</f>
        <v>634</v>
      </c>
      <c r="AF14" s="305">
        <f>'[1]návrh 2015'!BJ140</f>
        <v>0</v>
      </c>
      <c r="AG14" s="181">
        <v>634442</v>
      </c>
      <c r="AH14" s="190">
        <f t="shared" ref="AH14:AH45" si="8">AG14-J14*1000</f>
        <v>198442</v>
      </c>
      <c r="AI14" s="280">
        <f>ROUND(AE14*$AI$12,0)</f>
        <v>507</v>
      </c>
      <c r="AJ14" s="588">
        <v>11</v>
      </c>
    </row>
    <row r="15" spans="1:36" s="192" customFormat="1" ht="15" thickBot="1" x14ac:dyDescent="0.25">
      <c r="A15" s="494"/>
      <c r="B15" s="495" t="s">
        <v>93</v>
      </c>
      <c r="C15" s="496" t="s">
        <v>58</v>
      </c>
      <c r="D15" s="497"/>
      <c r="E15" s="498" t="s">
        <v>92</v>
      </c>
      <c r="F15" s="499">
        <f t="shared" si="4"/>
        <v>2633</v>
      </c>
      <c r="G15" s="275">
        <v>2180</v>
      </c>
      <c r="H15" s="276"/>
      <c r="I15" s="276"/>
      <c r="J15" s="277">
        <v>453</v>
      </c>
      <c r="K15" s="499">
        <f t="shared" si="5"/>
        <v>4719</v>
      </c>
      <c r="L15" s="205">
        <v>4266</v>
      </c>
      <c r="M15" s="205"/>
      <c r="N15" s="205"/>
      <c r="O15" s="277">
        <v>453</v>
      </c>
      <c r="P15" s="499">
        <f t="shared" si="6"/>
        <v>4767</v>
      </c>
      <c r="Q15" s="511">
        <f>'[2]návrh 2015'!$F$148</f>
        <v>4266</v>
      </c>
      <c r="R15" s="509"/>
      <c r="S15" s="276"/>
      <c r="T15" s="278">
        <f>'[2]návrh 2015'!$F$150</f>
        <v>501</v>
      </c>
      <c r="U15" s="278">
        <f>'[2]návrh 2015'!AY140</f>
        <v>6191</v>
      </c>
      <c r="V15" s="499">
        <f t="shared" si="7"/>
        <v>2134</v>
      </c>
      <c r="W15" s="500">
        <f t="shared" si="0"/>
        <v>2086</v>
      </c>
      <c r="X15" s="500">
        <f t="shared" si="1"/>
        <v>0</v>
      </c>
      <c r="Y15" s="500">
        <f t="shared" si="2"/>
        <v>0</v>
      </c>
      <c r="Z15" s="206">
        <f t="shared" si="3"/>
        <v>48</v>
      </c>
      <c r="AA15" s="499">
        <f t="shared" ref="AA15:AA45" si="9">SUM(AB15:AE15)</f>
        <v>4683</v>
      </c>
      <c r="AB15" s="204">
        <f>Q15-150-220-67-22-AJ15</f>
        <v>3781</v>
      </c>
      <c r="AC15" s="205"/>
      <c r="AD15" s="205"/>
      <c r="AE15" s="206">
        <f t="shared" ref="AE15:AE45" si="10">ROUND(AG15/1000,0)</f>
        <v>902</v>
      </c>
      <c r="AF15" s="305">
        <f>'[2]návrh 2015'!BJ140</f>
        <v>0</v>
      </c>
      <c r="AG15" s="501">
        <v>902295</v>
      </c>
      <c r="AH15" s="502">
        <f t="shared" si="8"/>
        <v>449295</v>
      </c>
      <c r="AI15" s="280">
        <f t="shared" ref="AI15:AI45" si="11">ROUND(AE15*$AI$12,0)</f>
        <v>722</v>
      </c>
      <c r="AJ15" s="589">
        <v>26</v>
      </c>
    </row>
    <row r="16" spans="1:36" s="192" customFormat="1" ht="15" thickBot="1" x14ac:dyDescent="0.25">
      <c r="A16" s="494"/>
      <c r="B16" s="495" t="s">
        <v>91</v>
      </c>
      <c r="C16" s="496" t="s">
        <v>58</v>
      </c>
      <c r="D16" s="497"/>
      <c r="E16" s="498" t="s">
        <v>101</v>
      </c>
      <c r="F16" s="499">
        <f t="shared" si="4"/>
        <v>3491</v>
      </c>
      <c r="G16" s="275">
        <v>2442</v>
      </c>
      <c r="H16" s="276"/>
      <c r="I16" s="276"/>
      <c r="J16" s="277">
        <v>1049</v>
      </c>
      <c r="K16" s="499">
        <f t="shared" si="5"/>
        <v>3661</v>
      </c>
      <c r="L16" s="205">
        <v>2612</v>
      </c>
      <c r="M16" s="205"/>
      <c r="N16" s="205"/>
      <c r="O16" s="277">
        <v>1049</v>
      </c>
      <c r="P16" s="499">
        <f t="shared" si="6"/>
        <v>4058</v>
      </c>
      <c r="Q16" s="511">
        <f>'[3]návrh 2015'!$AY$148</f>
        <v>2987</v>
      </c>
      <c r="R16" s="509"/>
      <c r="S16" s="276"/>
      <c r="T16" s="278">
        <f>'[3]návrh 2015'!$AY$150</f>
        <v>1071</v>
      </c>
      <c r="U16" s="278">
        <f>'[3]návrh 2015'!$AY$140</f>
        <v>7416</v>
      </c>
      <c r="V16" s="499">
        <f t="shared" si="7"/>
        <v>567</v>
      </c>
      <c r="W16" s="500">
        <f t="shared" si="0"/>
        <v>545</v>
      </c>
      <c r="X16" s="500">
        <f t="shared" si="1"/>
        <v>0</v>
      </c>
      <c r="Y16" s="500">
        <f t="shared" si="2"/>
        <v>0</v>
      </c>
      <c r="Z16" s="206">
        <f t="shared" si="3"/>
        <v>22</v>
      </c>
      <c r="AA16" s="499">
        <f t="shared" si="9"/>
        <v>3670</v>
      </c>
      <c r="AB16" s="204">
        <f>2270-AJ16</f>
        <v>2244</v>
      </c>
      <c r="AC16" s="205"/>
      <c r="AD16" s="205"/>
      <c r="AE16" s="206">
        <f t="shared" si="10"/>
        <v>1426</v>
      </c>
      <c r="AF16" s="305">
        <f>'[3]návrh 2015'!$AY$140</f>
        <v>7416</v>
      </c>
      <c r="AG16" s="501">
        <v>1426201</v>
      </c>
      <c r="AH16" s="502">
        <f t="shared" si="8"/>
        <v>377201</v>
      </c>
      <c r="AI16" s="280">
        <f t="shared" si="11"/>
        <v>1141</v>
      </c>
      <c r="AJ16" s="589">
        <v>26</v>
      </c>
    </row>
    <row r="17" spans="1:36" s="192" customFormat="1" ht="15" thickBot="1" x14ac:dyDescent="0.25">
      <c r="A17" s="494"/>
      <c r="B17" s="495" t="s">
        <v>90</v>
      </c>
      <c r="C17" s="496" t="s">
        <v>67</v>
      </c>
      <c r="D17" s="497"/>
      <c r="E17" s="498" t="s">
        <v>102</v>
      </c>
      <c r="F17" s="499">
        <f t="shared" si="4"/>
        <v>944</v>
      </c>
      <c r="G17" s="275">
        <v>843</v>
      </c>
      <c r="H17" s="276"/>
      <c r="I17" s="276"/>
      <c r="J17" s="277">
        <v>101</v>
      </c>
      <c r="K17" s="499">
        <f t="shared" si="5"/>
        <v>237</v>
      </c>
      <c r="L17" s="205">
        <v>136</v>
      </c>
      <c r="M17" s="205"/>
      <c r="N17" s="205"/>
      <c r="O17" s="277">
        <v>101</v>
      </c>
      <c r="P17" s="499">
        <f t="shared" si="6"/>
        <v>700</v>
      </c>
      <c r="Q17" s="512">
        <f>'[4]návrh 2015'!$AY$148</f>
        <v>605</v>
      </c>
      <c r="R17" s="509"/>
      <c r="S17" s="276"/>
      <c r="T17" s="278">
        <f>'[4]návrh 2015'!$AY$150</f>
        <v>95</v>
      </c>
      <c r="U17" s="278">
        <f>'[4]návrh 2015'!$AY$140</f>
        <v>2363</v>
      </c>
      <c r="V17" s="499">
        <f t="shared" si="7"/>
        <v>-244</v>
      </c>
      <c r="W17" s="500">
        <f t="shared" si="0"/>
        <v>-238</v>
      </c>
      <c r="X17" s="500">
        <f t="shared" si="1"/>
        <v>0</v>
      </c>
      <c r="Y17" s="500">
        <f t="shared" si="2"/>
        <v>0</v>
      </c>
      <c r="Z17" s="206">
        <f t="shared" si="3"/>
        <v>-6</v>
      </c>
      <c r="AA17" s="499">
        <f t="shared" si="9"/>
        <v>702</v>
      </c>
      <c r="AB17" s="204">
        <f>578-AJ17</f>
        <v>577</v>
      </c>
      <c r="AC17" s="205"/>
      <c r="AD17" s="205"/>
      <c r="AE17" s="206">
        <f t="shared" si="10"/>
        <v>125</v>
      </c>
      <c r="AF17" s="305">
        <f>'[4]návrh 2015'!$AY$140</f>
        <v>2363</v>
      </c>
      <c r="AG17" s="501">
        <v>125434</v>
      </c>
      <c r="AH17" s="502">
        <f t="shared" si="8"/>
        <v>24434</v>
      </c>
      <c r="AI17" s="280">
        <f t="shared" si="11"/>
        <v>100</v>
      </c>
      <c r="AJ17" s="589">
        <v>1</v>
      </c>
    </row>
    <row r="18" spans="1:36" s="192" customFormat="1" ht="15" thickBot="1" x14ac:dyDescent="0.25">
      <c r="A18" s="494"/>
      <c r="B18" s="495" t="s">
        <v>89</v>
      </c>
      <c r="C18" s="496" t="s">
        <v>58</v>
      </c>
      <c r="D18" s="497"/>
      <c r="E18" s="498" t="s">
        <v>103</v>
      </c>
      <c r="F18" s="499">
        <f t="shared" si="4"/>
        <v>5545</v>
      </c>
      <c r="G18" s="275">
        <v>4713</v>
      </c>
      <c r="H18" s="276"/>
      <c r="I18" s="276"/>
      <c r="J18" s="277">
        <f>847-15</f>
        <v>832</v>
      </c>
      <c r="K18" s="499">
        <f t="shared" si="5"/>
        <v>9246</v>
      </c>
      <c r="L18" s="205">
        <v>8414</v>
      </c>
      <c r="M18" s="205"/>
      <c r="N18" s="205"/>
      <c r="O18" s="277">
        <f>847-15</f>
        <v>832</v>
      </c>
      <c r="P18" s="499">
        <f t="shared" si="6"/>
        <v>8262</v>
      </c>
      <c r="Q18" s="511">
        <f>'[5]návrh 2015'!$AY$148</f>
        <v>7414</v>
      </c>
      <c r="R18" s="509"/>
      <c r="S18" s="276"/>
      <c r="T18" s="278">
        <f>'[5]návrh 2015'!$AY$150</f>
        <v>848</v>
      </c>
      <c r="U18" s="278">
        <f>'[5]návrh 2015'!$AY$140</f>
        <v>11401</v>
      </c>
      <c r="V18" s="499">
        <f t="shared" si="7"/>
        <v>2717</v>
      </c>
      <c r="W18" s="500">
        <f t="shared" si="0"/>
        <v>2701</v>
      </c>
      <c r="X18" s="500">
        <f t="shared" si="1"/>
        <v>0</v>
      </c>
      <c r="Y18" s="500">
        <f t="shared" si="2"/>
        <v>0</v>
      </c>
      <c r="Z18" s="206">
        <f t="shared" si="3"/>
        <v>16</v>
      </c>
      <c r="AA18" s="499">
        <f t="shared" si="9"/>
        <v>5821</v>
      </c>
      <c r="AB18" s="204">
        <f>5379-700-AJ18</f>
        <v>4638</v>
      </c>
      <c r="AC18" s="205"/>
      <c r="AD18" s="205"/>
      <c r="AE18" s="206">
        <f t="shared" si="10"/>
        <v>1183</v>
      </c>
      <c r="AF18" s="305">
        <f>'[5]návrh 2015'!$AY$140</f>
        <v>11401</v>
      </c>
      <c r="AG18" s="501">
        <f>989124+133788+59868</f>
        <v>1182780</v>
      </c>
      <c r="AH18" s="502">
        <f t="shared" si="8"/>
        <v>350780</v>
      </c>
      <c r="AI18" s="280">
        <f t="shared" si="11"/>
        <v>946</v>
      </c>
      <c r="AJ18" s="589">
        <v>41</v>
      </c>
    </row>
    <row r="19" spans="1:36" s="192" customFormat="1" ht="15" thickBot="1" x14ac:dyDescent="0.25">
      <c r="A19" s="494"/>
      <c r="B19" s="495" t="s">
        <v>88</v>
      </c>
      <c r="C19" s="496" t="s">
        <v>58</v>
      </c>
      <c r="D19" s="497"/>
      <c r="E19" s="498" t="s">
        <v>104</v>
      </c>
      <c r="F19" s="499">
        <f t="shared" si="4"/>
        <v>1016</v>
      </c>
      <c r="G19" s="275">
        <v>794</v>
      </c>
      <c r="H19" s="276"/>
      <c r="I19" s="276"/>
      <c r="J19" s="277">
        <v>222</v>
      </c>
      <c r="K19" s="499">
        <f t="shared" si="5"/>
        <v>1504</v>
      </c>
      <c r="L19" s="205">
        <v>1282</v>
      </c>
      <c r="M19" s="205"/>
      <c r="N19" s="205"/>
      <c r="O19" s="277">
        <v>222</v>
      </c>
      <c r="P19" s="499">
        <f t="shared" si="6"/>
        <v>1740</v>
      </c>
      <c r="Q19" s="511">
        <f>'[6]návrh 2015'!$AY$148</f>
        <v>1518</v>
      </c>
      <c r="R19" s="509"/>
      <c r="S19" s="276"/>
      <c r="T19" s="278">
        <f>'[6]návrh 2015'!$AY$150</f>
        <v>222</v>
      </c>
      <c r="U19" s="278">
        <f>'[6]návrh 2015'!$AY$140</f>
        <v>1860</v>
      </c>
      <c r="V19" s="499">
        <f t="shared" si="7"/>
        <v>724</v>
      </c>
      <c r="W19" s="500">
        <f t="shared" si="0"/>
        <v>724</v>
      </c>
      <c r="X19" s="500">
        <f t="shared" si="1"/>
        <v>0</v>
      </c>
      <c r="Y19" s="500">
        <f t="shared" si="2"/>
        <v>0</v>
      </c>
      <c r="Z19" s="206">
        <f t="shared" si="3"/>
        <v>0</v>
      </c>
      <c r="AA19" s="499">
        <f t="shared" si="9"/>
        <v>1779</v>
      </c>
      <c r="AB19" s="204">
        <f>1471-AJ19</f>
        <v>1465</v>
      </c>
      <c r="AC19" s="205"/>
      <c r="AD19" s="205"/>
      <c r="AE19" s="206">
        <f t="shared" si="10"/>
        <v>314</v>
      </c>
      <c r="AF19" s="305">
        <f>'[6]návrh 2015'!$AY$140</f>
        <v>1860</v>
      </c>
      <c r="AG19" s="501">
        <v>313768</v>
      </c>
      <c r="AH19" s="502">
        <f t="shared" si="8"/>
        <v>91768</v>
      </c>
      <c r="AI19" s="280">
        <f t="shared" si="11"/>
        <v>251</v>
      </c>
      <c r="AJ19" s="589">
        <v>6</v>
      </c>
    </row>
    <row r="20" spans="1:36" s="192" customFormat="1" ht="15" thickBot="1" x14ac:dyDescent="0.25">
      <c r="A20" s="494"/>
      <c r="B20" s="495" t="s">
        <v>87</v>
      </c>
      <c r="C20" s="496" t="s">
        <v>58</v>
      </c>
      <c r="D20" s="497"/>
      <c r="E20" s="498" t="s">
        <v>105</v>
      </c>
      <c r="F20" s="499">
        <f t="shared" si="4"/>
        <v>3874</v>
      </c>
      <c r="G20" s="275">
        <v>2387</v>
      </c>
      <c r="H20" s="276"/>
      <c r="I20" s="276"/>
      <c r="J20" s="277">
        <v>1487</v>
      </c>
      <c r="K20" s="499">
        <f t="shared" si="5"/>
        <v>4021</v>
      </c>
      <c r="L20" s="205">
        <v>2534</v>
      </c>
      <c r="M20" s="205"/>
      <c r="N20" s="205"/>
      <c r="O20" s="277">
        <v>1487</v>
      </c>
      <c r="P20" s="499">
        <f t="shared" si="6"/>
        <v>4490.8999999999996</v>
      </c>
      <c r="Q20" s="275">
        <v>2985</v>
      </c>
      <c r="R20" s="276"/>
      <c r="S20" s="276"/>
      <c r="T20" s="278">
        <f>'[7]návrh 2015'!$AY$150</f>
        <v>1505.9</v>
      </c>
      <c r="U20" s="278">
        <f>'[7]návrh 2015'!$AY$140</f>
        <v>6268</v>
      </c>
      <c r="V20" s="499">
        <f t="shared" si="7"/>
        <v>616.90000000000009</v>
      </c>
      <c r="W20" s="500">
        <f t="shared" si="0"/>
        <v>598</v>
      </c>
      <c r="X20" s="500">
        <f t="shared" si="1"/>
        <v>0</v>
      </c>
      <c r="Y20" s="500">
        <f t="shared" si="2"/>
        <v>0</v>
      </c>
      <c r="Z20" s="206">
        <f t="shared" si="3"/>
        <v>18.900000000000091</v>
      </c>
      <c r="AA20" s="499">
        <f t="shared" si="9"/>
        <v>3773</v>
      </c>
      <c r="AB20" s="204">
        <f>Q20-180-500-AJ20</f>
        <v>2286</v>
      </c>
      <c r="AC20" s="205"/>
      <c r="AD20" s="205"/>
      <c r="AE20" s="206">
        <f t="shared" si="10"/>
        <v>1487</v>
      </c>
      <c r="AF20" s="305">
        <f>'[7]návrh 2015'!$AY$140</f>
        <v>6268</v>
      </c>
      <c r="AG20" s="501">
        <v>1486737</v>
      </c>
      <c r="AH20" s="502">
        <f t="shared" si="8"/>
        <v>-263</v>
      </c>
      <c r="AI20" s="280">
        <f t="shared" si="11"/>
        <v>1190</v>
      </c>
      <c r="AJ20" s="589">
        <v>19</v>
      </c>
    </row>
    <row r="21" spans="1:36" s="192" customFormat="1" ht="15" thickBot="1" x14ac:dyDescent="0.25">
      <c r="A21" s="494"/>
      <c r="B21" s="495" t="s">
        <v>86</v>
      </c>
      <c r="C21" s="496" t="s">
        <v>58</v>
      </c>
      <c r="D21" s="497"/>
      <c r="E21" s="498" t="s">
        <v>106</v>
      </c>
      <c r="F21" s="499">
        <f t="shared" si="4"/>
        <v>14237</v>
      </c>
      <c r="G21" s="275">
        <v>11802</v>
      </c>
      <c r="H21" s="276"/>
      <c r="I21" s="276"/>
      <c r="J21" s="277">
        <v>2435</v>
      </c>
      <c r="K21" s="499">
        <f t="shared" si="5"/>
        <v>17612</v>
      </c>
      <c r="L21" s="205">
        <v>12042</v>
      </c>
      <c r="M21" s="205"/>
      <c r="N21" s="205"/>
      <c r="O21" s="277">
        <v>5570</v>
      </c>
      <c r="P21" s="499">
        <f t="shared" si="6"/>
        <v>30218</v>
      </c>
      <c r="Q21" s="275">
        <f>'[8]návrh 2015'!$AY$148</f>
        <v>24145</v>
      </c>
      <c r="R21" s="276"/>
      <c r="S21" s="276"/>
      <c r="T21" s="278">
        <f>'[8]návrh 2015'!$AY$150</f>
        <v>6073</v>
      </c>
      <c r="U21" s="278">
        <f>'[8]návrh 2015'!$AY$140</f>
        <v>21886</v>
      </c>
      <c r="V21" s="499">
        <f t="shared" si="7"/>
        <v>15981</v>
      </c>
      <c r="W21" s="500">
        <f t="shared" si="0"/>
        <v>12343</v>
      </c>
      <c r="X21" s="500">
        <f t="shared" si="1"/>
        <v>0</v>
      </c>
      <c r="Y21" s="500">
        <f t="shared" si="2"/>
        <v>0</v>
      </c>
      <c r="Z21" s="206">
        <f t="shared" si="3"/>
        <v>3638</v>
      </c>
      <c r="AA21" s="499">
        <f t="shared" si="9"/>
        <v>29423</v>
      </c>
      <c r="AB21" s="204">
        <f>Q21-350-2800-AJ21</f>
        <v>20878</v>
      </c>
      <c r="AC21" s="205"/>
      <c r="AD21" s="205"/>
      <c r="AE21" s="206">
        <f t="shared" si="10"/>
        <v>8545</v>
      </c>
      <c r="AF21" s="305">
        <f>'[8]návrh 2015'!$AY$140</f>
        <v>21886</v>
      </c>
      <c r="AG21" s="501">
        <v>8544594.4800000004</v>
      </c>
      <c r="AH21" s="502">
        <f t="shared" si="8"/>
        <v>6109594.4800000004</v>
      </c>
      <c r="AI21" s="280">
        <f t="shared" si="11"/>
        <v>6836</v>
      </c>
      <c r="AJ21" s="589">
        <v>117</v>
      </c>
    </row>
    <row r="22" spans="1:36" s="192" customFormat="1" ht="15" thickBot="1" x14ac:dyDescent="0.25">
      <c r="A22" s="494"/>
      <c r="B22" s="495" t="s">
        <v>85</v>
      </c>
      <c r="C22" s="496" t="s">
        <v>67</v>
      </c>
      <c r="D22" s="497"/>
      <c r="E22" s="498" t="s">
        <v>107</v>
      </c>
      <c r="F22" s="499">
        <f t="shared" si="4"/>
        <v>8212</v>
      </c>
      <c r="G22" s="275">
        <v>6823</v>
      </c>
      <c r="H22" s="276"/>
      <c r="I22" s="276"/>
      <c r="J22" s="277">
        <v>1389</v>
      </c>
      <c r="K22" s="499">
        <f t="shared" si="5"/>
        <v>8849</v>
      </c>
      <c r="L22" s="205">
        <v>7460</v>
      </c>
      <c r="M22" s="205"/>
      <c r="N22" s="205"/>
      <c r="O22" s="277">
        <v>1389</v>
      </c>
      <c r="P22" s="499">
        <f t="shared" si="6"/>
        <v>9244</v>
      </c>
      <c r="Q22" s="275">
        <f>'[9]návrh 2015'!$AY$148</f>
        <v>7899</v>
      </c>
      <c r="R22" s="276"/>
      <c r="S22" s="276"/>
      <c r="T22" s="278">
        <f>'[9]návrh 2015'!$AY$150</f>
        <v>1345</v>
      </c>
      <c r="U22" s="278">
        <f>'[9]návrh 2015'!$AY$140</f>
        <v>19438</v>
      </c>
      <c r="V22" s="499">
        <f t="shared" si="7"/>
        <v>1032</v>
      </c>
      <c r="W22" s="500">
        <f t="shared" si="0"/>
        <v>1076</v>
      </c>
      <c r="X22" s="500">
        <f t="shared" si="1"/>
        <v>0</v>
      </c>
      <c r="Y22" s="500">
        <f t="shared" si="2"/>
        <v>0</v>
      </c>
      <c r="Z22" s="206">
        <f t="shared" si="3"/>
        <v>-44</v>
      </c>
      <c r="AA22" s="499">
        <f t="shared" si="9"/>
        <v>8961</v>
      </c>
      <c r="AB22" s="204">
        <f>7378-AJ22</f>
        <v>7327</v>
      </c>
      <c r="AC22" s="205"/>
      <c r="AD22" s="205"/>
      <c r="AE22" s="206">
        <f t="shared" si="10"/>
        <v>1634</v>
      </c>
      <c r="AF22" s="305">
        <f>'[9]návrh 2015'!$AY$140</f>
        <v>19438</v>
      </c>
      <c r="AG22" s="501">
        <v>1633634</v>
      </c>
      <c r="AH22" s="502">
        <f t="shared" si="8"/>
        <v>244634</v>
      </c>
      <c r="AI22" s="280">
        <f t="shared" si="11"/>
        <v>1307</v>
      </c>
      <c r="AJ22" s="589">
        <v>51</v>
      </c>
    </row>
    <row r="23" spans="1:36" s="192" customFormat="1" ht="18" customHeight="1" thickBot="1" x14ac:dyDescent="0.25">
      <c r="A23" s="494"/>
      <c r="B23" s="495" t="s">
        <v>84</v>
      </c>
      <c r="C23" s="496" t="s">
        <v>58</v>
      </c>
      <c r="D23" s="497"/>
      <c r="E23" s="498" t="s">
        <v>108</v>
      </c>
      <c r="F23" s="499">
        <f t="shared" si="4"/>
        <v>11643</v>
      </c>
      <c r="G23" s="275">
        <v>10353</v>
      </c>
      <c r="H23" s="276"/>
      <c r="I23" s="276"/>
      <c r="J23" s="277">
        <v>1290</v>
      </c>
      <c r="K23" s="499">
        <f t="shared" si="5"/>
        <v>12763</v>
      </c>
      <c r="L23" s="205">
        <v>11473</v>
      </c>
      <c r="M23" s="205"/>
      <c r="N23" s="205"/>
      <c r="O23" s="277">
        <v>1290</v>
      </c>
      <c r="P23" s="499">
        <f t="shared" si="6"/>
        <v>18234</v>
      </c>
      <c r="Q23" s="275">
        <f>'[10]návrh 2015'!$AY$148</f>
        <v>16421</v>
      </c>
      <c r="R23" s="276"/>
      <c r="S23" s="276"/>
      <c r="T23" s="278">
        <f>'[10]návrh 2015'!$AY$150</f>
        <v>1813</v>
      </c>
      <c r="U23" s="278">
        <f>'[10]návrh 2015'!$AY$140</f>
        <v>27282</v>
      </c>
      <c r="V23" s="499">
        <f t="shared" si="7"/>
        <v>6591</v>
      </c>
      <c r="W23" s="500">
        <f t="shared" si="0"/>
        <v>6068</v>
      </c>
      <c r="X23" s="500">
        <f t="shared" si="1"/>
        <v>0</v>
      </c>
      <c r="Y23" s="500">
        <f t="shared" si="2"/>
        <v>0</v>
      </c>
      <c r="Z23" s="206">
        <f t="shared" si="3"/>
        <v>523</v>
      </c>
      <c r="AA23" s="499">
        <f t="shared" si="9"/>
        <v>17529</v>
      </c>
      <c r="AB23" s="204">
        <f>14610-300-AJ23</f>
        <v>14243</v>
      </c>
      <c r="AC23" s="205"/>
      <c r="AD23" s="205"/>
      <c r="AE23" s="206">
        <f t="shared" si="10"/>
        <v>3286</v>
      </c>
      <c r="AF23" s="305">
        <f>'[10]návrh 2015'!$AY$140</f>
        <v>27282</v>
      </c>
      <c r="AG23" s="501">
        <v>3286204</v>
      </c>
      <c r="AH23" s="502">
        <f t="shared" si="8"/>
        <v>1996204</v>
      </c>
      <c r="AI23" s="280">
        <f t="shared" si="11"/>
        <v>2629</v>
      </c>
      <c r="AJ23" s="589">
        <v>67</v>
      </c>
    </row>
    <row r="24" spans="1:36" s="192" customFormat="1" ht="15" thickBot="1" x14ac:dyDescent="0.25">
      <c r="A24" s="494"/>
      <c r="B24" s="495" t="s">
        <v>83</v>
      </c>
      <c r="C24" s="496" t="s">
        <v>72</v>
      </c>
      <c r="D24" s="497"/>
      <c r="E24" s="498" t="s">
        <v>109</v>
      </c>
      <c r="F24" s="499">
        <f t="shared" si="4"/>
        <v>4702</v>
      </c>
      <c r="G24" s="275">
        <v>3936</v>
      </c>
      <c r="H24" s="276"/>
      <c r="I24" s="276"/>
      <c r="J24" s="277">
        <v>766</v>
      </c>
      <c r="K24" s="499">
        <f t="shared" si="5"/>
        <v>5719</v>
      </c>
      <c r="L24" s="205">
        <v>4953</v>
      </c>
      <c r="M24" s="205"/>
      <c r="N24" s="205"/>
      <c r="O24" s="277">
        <v>766</v>
      </c>
      <c r="P24" s="499">
        <f t="shared" si="6"/>
        <v>5841.1900000000005</v>
      </c>
      <c r="Q24" s="275">
        <f>'[11]návrh 2015'!$AY$148</f>
        <v>5111</v>
      </c>
      <c r="R24" s="276"/>
      <c r="S24" s="276"/>
      <c r="T24" s="278">
        <f>'[11]návrh 2015'!$AY$150</f>
        <v>730.19</v>
      </c>
      <c r="U24" s="278">
        <f>'[11]návrh 2015'!$AY$140</f>
        <v>10062</v>
      </c>
      <c r="V24" s="499">
        <f t="shared" si="7"/>
        <v>1139.19</v>
      </c>
      <c r="W24" s="500">
        <f t="shared" si="0"/>
        <v>1175</v>
      </c>
      <c r="X24" s="500">
        <f t="shared" si="1"/>
        <v>0</v>
      </c>
      <c r="Y24" s="500">
        <f t="shared" si="2"/>
        <v>0</v>
      </c>
      <c r="Z24" s="206">
        <f t="shared" si="3"/>
        <v>-35.809999999999945</v>
      </c>
      <c r="AA24" s="499">
        <f t="shared" si="9"/>
        <v>5426</v>
      </c>
      <c r="AB24" s="204">
        <f>4537-AJ24</f>
        <v>4523</v>
      </c>
      <c r="AC24" s="205"/>
      <c r="AD24" s="205"/>
      <c r="AE24" s="206">
        <f t="shared" si="10"/>
        <v>903</v>
      </c>
      <c r="AF24" s="305">
        <f>'[11]návrh 2015'!$AY$140</f>
        <v>10062</v>
      </c>
      <c r="AG24" s="501">
        <v>902984</v>
      </c>
      <c r="AH24" s="502">
        <f t="shared" si="8"/>
        <v>136984</v>
      </c>
      <c r="AI24" s="280">
        <f t="shared" si="11"/>
        <v>722</v>
      </c>
      <c r="AJ24" s="589">
        <v>14</v>
      </c>
    </row>
    <row r="25" spans="1:36" s="192" customFormat="1" ht="15" thickBot="1" x14ac:dyDescent="0.25">
      <c r="A25" s="494"/>
      <c r="B25" s="495" t="s">
        <v>82</v>
      </c>
      <c r="C25" s="496" t="s">
        <v>58</v>
      </c>
      <c r="D25" s="497"/>
      <c r="E25" s="498" t="s">
        <v>110</v>
      </c>
      <c r="F25" s="499">
        <f t="shared" si="4"/>
        <v>10138</v>
      </c>
      <c r="G25" s="275">
        <v>7909</v>
      </c>
      <c r="H25" s="276"/>
      <c r="I25" s="276"/>
      <c r="J25" s="277">
        <v>2229</v>
      </c>
      <c r="K25" s="499">
        <f t="shared" si="5"/>
        <v>13154</v>
      </c>
      <c r="L25" s="205">
        <v>10925</v>
      </c>
      <c r="M25" s="205"/>
      <c r="N25" s="205"/>
      <c r="O25" s="277">
        <v>2229</v>
      </c>
      <c r="P25" s="499">
        <f t="shared" si="6"/>
        <v>13363</v>
      </c>
      <c r="Q25" s="275">
        <f>'[12]návrh 2015'!$AY$148</f>
        <v>11000</v>
      </c>
      <c r="R25" s="276"/>
      <c r="S25" s="276"/>
      <c r="T25" s="278">
        <f>'[12]návrh 2015'!$AY$150</f>
        <v>2363</v>
      </c>
      <c r="U25" s="278">
        <f>'[12]návrh 2015'!$AY$140</f>
        <v>21154</v>
      </c>
      <c r="V25" s="499">
        <f t="shared" si="7"/>
        <v>3225</v>
      </c>
      <c r="W25" s="500">
        <f t="shared" si="0"/>
        <v>3091</v>
      </c>
      <c r="X25" s="500">
        <f t="shared" si="1"/>
        <v>0</v>
      </c>
      <c r="Y25" s="500">
        <f t="shared" si="2"/>
        <v>0</v>
      </c>
      <c r="Z25" s="206">
        <f t="shared" si="3"/>
        <v>134</v>
      </c>
      <c r="AA25" s="499">
        <f t="shared" si="9"/>
        <v>13625</v>
      </c>
      <c r="AB25" s="204">
        <f>10005-208-AJ25</f>
        <v>9766</v>
      </c>
      <c r="AC25" s="205"/>
      <c r="AD25" s="205"/>
      <c r="AE25" s="206">
        <f t="shared" si="10"/>
        <v>3859</v>
      </c>
      <c r="AF25" s="305">
        <f>'[12]návrh 2015'!$AY$140</f>
        <v>21154</v>
      </c>
      <c r="AG25" s="501">
        <v>3858646</v>
      </c>
      <c r="AH25" s="502">
        <f t="shared" si="8"/>
        <v>1629646</v>
      </c>
      <c r="AI25" s="280">
        <f t="shared" si="11"/>
        <v>3087</v>
      </c>
      <c r="AJ25" s="589">
        <v>31</v>
      </c>
    </row>
    <row r="26" spans="1:36" s="192" customFormat="1" ht="15" thickBot="1" x14ac:dyDescent="0.25">
      <c r="A26" s="494"/>
      <c r="B26" s="495" t="s">
        <v>80</v>
      </c>
      <c r="C26" s="496" t="s">
        <v>81</v>
      </c>
      <c r="D26" s="497"/>
      <c r="E26" s="498" t="s">
        <v>193</v>
      </c>
      <c r="F26" s="499">
        <f t="shared" si="4"/>
        <v>4604</v>
      </c>
      <c r="G26" s="275">
        <v>4312</v>
      </c>
      <c r="H26" s="276"/>
      <c r="I26" s="276"/>
      <c r="J26" s="277">
        <v>292</v>
      </c>
      <c r="K26" s="499">
        <f t="shared" si="5"/>
        <v>8152</v>
      </c>
      <c r="L26" s="205">
        <v>7860</v>
      </c>
      <c r="M26" s="205"/>
      <c r="N26" s="205"/>
      <c r="O26" s="277">
        <v>292</v>
      </c>
      <c r="P26" s="499">
        <f t="shared" si="6"/>
        <v>7330</v>
      </c>
      <c r="Q26" s="275">
        <f>'[13]návrh 2015'!$AY$148</f>
        <v>7038</v>
      </c>
      <c r="R26" s="276"/>
      <c r="S26" s="276"/>
      <c r="T26" s="278">
        <f>'[13]návrh 2015'!$AY$150</f>
        <v>292</v>
      </c>
      <c r="U26" s="278">
        <f>'[13]návrh 2015'!$AY$140</f>
        <v>8114</v>
      </c>
      <c r="V26" s="499">
        <f t="shared" si="7"/>
        <v>2726</v>
      </c>
      <c r="W26" s="500">
        <f t="shared" si="0"/>
        <v>2726</v>
      </c>
      <c r="X26" s="500">
        <f t="shared" si="1"/>
        <v>0</v>
      </c>
      <c r="Y26" s="500">
        <f t="shared" si="2"/>
        <v>0</v>
      </c>
      <c r="Z26" s="206">
        <f t="shared" si="3"/>
        <v>0</v>
      </c>
      <c r="AA26" s="499">
        <f t="shared" si="9"/>
        <v>6921</v>
      </c>
      <c r="AB26" s="204">
        <f>6586-AJ26</f>
        <v>6581</v>
      </c>
      <c r="AC26" s="205"/>
      <c r="AD26" s="205"/>
      <c r="AE26" s="206">
        <f t="shared" si="10"/>
        <v>340</v>
      </c>
      <c r="AF26" s="305">
        <f>'[13]návrh 2015'!$AY$140</f>
        <v>8114</v>
      </c>
      <c r="AG26" s="501">
        <v>339879</v>
      </c>
      <c r="AH26" s="502">
        <f t="shared" si="8"/>
        <v>47879</v>
      </c>
      <c r="AI26" s="280">
        <f t="shared" si="11"/>
        <v>272</v>
      </c>
      <c r="AJ26" s="589">
        <v>5</v>
      </c>
    </row>
    <row r="27" spans="1:36" s="192" customFormat="1" ht="15" thickBot="1" x14ac:dyDescent="0.25">
      <c r="A27" s="494"/>
      <c r="B27" s="495" t="s">
        <v>79</v>
      </c>
      <c r="C27" s="496" t="s">
        <v>58</v>
      </c>
      <c r="D27" s="497"/>
      <c r="E27" s="498" t="s">
        <v>111</v>
      </c>
      <c r="F27" s="499">
        <f t="shared" si="4"/>
        <v>5312</v>
      </c>
      <c r="G27" s="275">
        <v>3395</v>
      </c>
      <c r="H27" s="276"/>
      <c r="I27" s="276"/>
      <c r="J27" s="277">
        <f>1952-35</f>
        <v>1917</v>
      </c>
      <c r="K27" s="499">
        <f t="shared" si="5"/>
        <v>6704</v>
      </c>
      <c r="L27" s="205">
        <v>4787</v>
      </c>
      <c r="M27" s="205"/>
      <c r="N27" s="205"/>
      <c r="O27" s="277">
        <f>1952-35</f>
        <v>1917</v>
      </c>
      <c r="P27" s="499">
        <f t="shared" si="6"/>
        <v>6727</v>
      </c>
      <c r="Q27" s="275">
        <f>'[14]návrh 2015'!$AY$148/1000</f>
        <v>4787</v>
      </c>
      <c r="R27" s="276"/>
      <c r="S27" s="276"/>
      <c r="T27" s="278">
        <f>'[14]návrh 2015'!$AY$150/1000</f>
        <v>1940</v>
      </c>
      <c r="U27" s="278">
        <f>'[14]návrh 2015'!$AY$140/1000</f>
        <v>10307</v>
      </c>
      <c r="V27" s="499">
        <f t="shared" si="7"/>
        <v>1415</v>
      </c>
      <c r="W27" s="500">
        <f t="shared" si="0"/>
        <v>1392</v>
      </c>
      <c r="X27" s="500">
        <f t="shared" si="1"/>
        <v>0</v>
      </c>
      <c r="Y27" s="500">
        <f t="shared" si="2"/>
        <v>0</v>
      </c>
      <c r="Z27" s="206">
        <f t="shared" si="3"/>
        <v>23</v>
      </c>
      <c r="AA27" s="499">
        <f t="shared" si="9"/>
        <v>5545</v>
      </c>
      <c r="AB27" s="204">
        <f>3107-AJ27</f>
        <v>3058</v>
      </c>
      <c r="AC27" s="205"/>
      <c r="AD27" s="205"/>
      <c r="AE27" s="206">
        <f t="shared" si="10"/>
        <v>2487</v>
      </c>
      <c r="AF27" s="305">
        <f>'[14]návrh 2015'!$AY$140/1000</f>
        <v>10307</v>
      </c>
      <c r="AG27" s="501">
        <v>2487137.08</v>
      </c>
      <c r="AH27" s="502">
        <f t="shared" si="8"/>
        <v>570137.08000000007</v>
      </c>
      <c r="AI27" s="280">
        <f t="shared" si="11"/>
        <v>1990</v>
      </c>
      <c r="AJ27" s="589">
        <v>49</v>
      </c>
    </row>
    <row r="28" spans="1:36" s="192" customFormat="1" ht="15" thickBot="1" x14ac:dyDescent="0.25">
      <c r="A28" s="494"/>
      <c r="B28" s="495" t="s">
        <v>78</v>
      </c>
      <c r="C28" s="496" t="s">
        <v>58</v>
      </c>
      <c r="D28" s="497"/>
      <c r="E28" s="498" t="s">
        <v>112</v>
      </c>
      <c r="F28" s="499">
        <f t="shared" si="4"/>
        <v>2816</v>
      </c>
      <c r="G28" s="275">
        <v>2642</v>
      </c>
      <c r="H28" s="276"/>
      <c r="I28" s="276"/>
      <c r="J28" s="277">
        <v>174</v>
      </c>
      <c r="K28" s="499">
        <f t="shared" si="5"/>
        <v>3621</v>
      </c>
      <c r="L28" s="205">
        <v>3447</v>
      </c>
      <c r="M28" s="205"/>
      <c r="N28" s="205"/>
      <c r="O28" s="277">
        <v>174</v>
      </c>
      <c r="P28" s="499">
        <f t="shared" si="6"/>
        <v>3602</v>
      </c>
      <c r="Q28" s="275">
        <f>'[15]návrh 2015'!$AY$148</f>
        <v>3472</v>
      </c>
      <c r="R28" s="276"/>
      <c r="S28" s="276"/>
      <c r="T28" s="278">
        <f>'[15]návrh 2015'!$AY$150</f>
        <v>130</v>
      </c>
      <c r="U28" s="278">
        <f>'[15]návrh 2015'!$AY$140</f>
        <v>7118</v>
      </c>
      <c r="V28" s="499">
        <f t="shared" si="7"/>
        <v>786</v>
      </c>
      <c r="W28" s="500">
        <f t="shared" si="0"/>
        <v>830</v>
      </c>
      <c r="X28" s="500">
        <f t="shared" si="1"/>
        <v>0</v>
      </c>
      <c r="Y28" s="500">
        <f t="shared" si="2"/>
        <v>0</v>
      </c>
      <c r="Z28" s="206">
        <f t="shared" si="3"/>
        <v>-44</v>
      </c>
      <c r="AA28" s="499">
        <f t="shared" si="9"/>
        <v>3098</v>
      </c>
      <c r="AB28" s="204">
        <f>2932-AJ28</f>
        <v>2917</v>
      </c>
      <c r="AC28" s="205"/>
      <c r="AD28" s="205"/>
      <c r="AE28" s="206">
        <f t="shared" si="10"/>
        <v>181</v>
      </c>
      <c r="AF28" s="305">
        <f>'[15]návrh 2015'!$AY$140</f>
        <v>7118</v>
      </c>
      <c r="AG28" s="501">
        <v>181008</v>
      </c>
      <c r="AH28" s="502">
        <f t="shared" si="8"/>
        <v>7008</v>
      </c>
      <c r="AI28" s="280">
        <f t="shared" si="11"/>
        <v>145</v>
      </c>
      <c r="AJ28" s="589">
        <v>15</v>
      </c>
    </row>
    <row r="29" spans="1:36" s="192" customFormat="1" ht="15" thickBot="1" x14ac:dyDescent="0.25">
      <c r="A29" s="494"/>
      <c r="B29" s="495" t="s">
        <v>77</v>
      </c>
      <c r="C29" s="496" t="s">
        <v>58</v>
      </c>
      <c r="D29" s="497"/>
      <c r="E29" s="498" t="s">
        <v>113</v>
      </c>
      <c r="F29" s="499">
        <f t="shared" si="4"/>
        <v>5421</v>
      </c>
      <c r="G29" s="275">
        <v>4458</v>
      </c>
      <c r="H29" s="276"/>
      <c r="I29" s="276"/>
      <c r="J29" s="277">
        <v>963</v>
      </c>
      <c r="K29" s="499">
        <f t="shared" si="5"/>
        <v>8278</v>
      </c>
      <c r="L29" s="205">
        <v>7315</v>
      </c>
      <c r="M29" s="205"/>
      <c r="N29" s="205"/>
      <c r="O29" s="277">
        <v>963</v>
      </c>
      <c r="P29" s="499">
        <f t="shared" si="6"/>
        <v>6206</v>
      </c>
      <c r="Q29" s="275">
        <f>'[16]návrh 2015'!$AY$148</f>
        <v>5235</v>
      </c>
      <c r="R29" s="276"/>
      <c r="S29" s="276"/>
      <c r="T29" s="278">
        <f>'[16]návrh 2015'!$AY$150</f>
        <v>971</v>
      </c>
      <c r="U29" s="278">
        <f>'[16]návrh 2015'!$AY$140</f>
        <v>11082</v>
      </c>
      <c r="V29" s="499">
        <f t="shared" si="7"/>
        <v>785</v>
      </c>
      <c r="W29" s="500">
        <f t="shared" si="0"/>
        <v>777</v>
      </c>
      <c r="X29" s="500">
        <f t="shared" si="1"/>
        <v>0</v>
      </c>
      <c r="Y29" s="500">
        <f t="shared" si="2"/>
        <v>0</v>
      </c>
      <c r="Z29" s="206">
        <f t="shared" si="3"/>
        <v>8</v>
      </c>
      <c r="AA29" s="499">
        <f t="shared" si="9"/>
        <v>6023</v>
      </c>
      <c r="AB29" s="204">
        <f>4835-AJ29</f>
        <v>4808</v>
      </c>
      <c r="AC29" s="205"/>
      <c r="AD29" s="205"/>
      <c r="AE29" s="206">
        <f t="shared" si="10"/>
        <v>1215</v>
      </c>
      <c r="AF29" s="305">
        <f>'[16]návrh 2015'!$AY$140</f>
        <v>11082</v>
      </c>
      <c r="AG29" s="501">
        <v>1214778.8</v>
      </c>
      <c r="AH29" s="502">
        <f t="shared" si="8"/>
        <v>251778.80000000005</v>
      </c>
      <c r="AI29" s="280">
        <f t="shared" si="11"/>
        <v>972</v>
      </c>
      <c r="AJ29" s="589">
        <v>27</v>
      </c>
    </row>
    <row r="30" spans="1:36" s="192" customFormat="1" ht="15" thickBot="1" x14ac:dyDescent="0.25">
      <c r="A30" s="494"/>
      <c r="B30" s="495" t="s">
        <v>76</v>
      </c>
      <c r="C30" s="496" t="s">
        <v>75</v>
      </c>
      <c r="D30" s="497"/>
      <c r="E30" s="498" t="s">
        <v>114</v>
      </c>
      <c r="F30" s="499">
        <f t="shared" si="4"/>
        <v>2411</v>
      </c>
      <c r="G30" s="275">
        <v>2234</v>
      </c>
      <c r="H30" s="276"/>
      <c r="I30" s="276"/>
      <c r="J30" s="277">
        <v>177</v>
      </c>
      <c r="K30" s="499">
        <f t="shared" si="5"/>
        <v>2908</v>
      </c>
      <c r="L30" s="205">
        <v>2731</v>
      </c>
      <c r="M30" s="205"/>
      <c r="N30" s="205"/>
      <c r="O30" s="277">
        <v>177</v>
      </c>
      <c r="P30" s="499">
        <f t="shared" si="6"/>
        <v>2386</v>
      </c>
      <c r="Q30" s="275">
        <f>'[17]návrh 2015'!$AY$148</f>
        <v>2148</v>
      </c>
      <c r="R30" s="276"/>
      <c r="S30" s="276"/>
      <c r="T30" s="278">
        <f>'[17]návrh 2015'!$AY$150</f>
        <v>238</v>
      </c>
      <c r="U30" s="278">
        <f>'[17]návrh 2015'!$AY$140</f>
        <v>6215</v>
      </c>
      <c r="V30" s="499">
        <f t="shared" si="7"/>
        <v>-25</v>
      </c>
      <c r="W30" s="500">
        <f t="shared" si="0"/>
        <v>-86</v>
      </c>
      <c r="X30" s="500">
        <f t="shared" si="1"/>
        <v>0</v>
      </c>
      <c r="Y30" s="500">
        <f t="shared" si="2"/>
        <v>0</v>
      </c>
      <c r="Z30" s="206">
        <f t="shared" si="3"/>
        <v>61</v>
      </c>
      <c r="AA30" s="499">
        <f t="shared" si="9"/>
        <v>2439</v>
      </c>
      <c r="AB30" s="204">
        <f>2119-AJ30</f>
        <v>2109</v>
      </c>
      <c r="AC30" s="205"/>
      <c r="AD30" s="205"/>
      <c r="AE30" s="206">
        <f t="shared" si="10"/>
        <v>330</v>
      </c>
      <c r="AF30" s="305">
        <f>'[17]návrh 2015'!$AY$140</f>
        <v>6215</v>
      </c>
      <c r="AG30" s="501">
        <v>330267</v>
      </c>
      <c r="AH30" s="502">
        <f t="shared" si="8"/>
        <v>153267</v>
      </c>
      <c r="AI30" s="280">
        <f t="shared" si="11"/>
        <v>264</v>
      </c>
      <c r="AJ30" s="589">
        <v>10</v>
      </c>
    </row>
    <row r="31" spans="1:36" s="192" customFormat="1" ht="15" thickBot="1" x14ac:dyDescent="0.25">
      <c r="A31" s="494"/>
      <c r="B31" s="495" t="s">
        <v>74</v>
      </c>
      <c r="C31" s="496" t="s">
        <v>75</v>
      </c>
      <c r="D31" s="497"/>
      <c r="E31" s="498" t="s">
        <v>115</v>
      </c>
      <c r="F31" s="499">
        <f t="shared" si="4"/>
        <v>592</v>
      </c>
      <c r="G31" s="275">
        <v>382</v>
      </c>
      <c r="H31" s="276"/>
      <c r="I31" s="276"/>
      <c r="J31" s="277">
        <v>210</v>
      </c>
      <c r="K31" s="499">
        <f t="shared" si="5"/>
        <v>592</v>
      </c>
      <c r="L31" s="205">
        <v>382</v>
      </c>
      <c r="M31" s="205"/>
      <c r="N31" s="205"/>
      <c r="O31" s="277">
        <v>210</v>
      </c>
      <c r="P31" s="499">
        <f t="shared" si="6"/>
        <v>780</v>
      </c>
      <c r="Q31" s="275">
        <f>'[18]návrh 2015'!$AY$148</f>
        <v>485</v>
      </c>
      <c r="R31" s="276"/>
      <c r="S31" s="276"/>
      <c r="T31" s="278">
        <f>'[18]návrh 2015'!$AY$150</f>
        <v>295</v>
      </c>
      <c r="U31" s="278">
        <f>'[18]návrh 2015'!$AY$140</f>
        <v>1224</v>
      </c>
      <c r="V31" s="499">
        <f t="shared" si="7"/>
        <v>188</v>
      </c>
      <c r="W31" s="500">
        <f t="shared" si="0"/>
        <v>103</v>
      </c>
      <c r="X31" s="500">
        <f t="shared" si="1"/>
        <v>0</v>
      </c>
      <c r="Y31" s="500">
        <f t="shared" si="2"/>
        <v>0</v>
      </c>
      <c r="Z31" s="206">
        <f t="shared" si="3"/>
        <v>85</v>
      </c>
      <c r="AA31" s="499">
        <f t="shared" si="9"/>
        <v>600</v>
      </c>
      <c r="AB31" s="204">
        <f>310-AJ31</f>
        <v>303</v>
      </c>
      <c r="AC31" s="205"/>
      <c r="AD31" s="205"/>
      <c r="AE31" s="206">
        <f t="shared" si="10"/>
        <v>297</v>
      </c>
      <c r="AF31" s="305">
        <f>'[18]návrh 2015'!$AY$140</f>
        <v>1224</v>
      </c>
      <c r="AG31" s="501">
        <v>297469</v>
      </c>
      <c r="AH31" s="502">
        <f t="shared" si="8"/>
        <v>87469</v>
      </c>
      <c r="AI31" s="280">
        <f t="shared" si="11"/>
        <v>238</v>
      </c>
      <c r="AJ31" s="589">
        <v>7</v>
      </c>
    </row>
    <row r="32" spans="1:36" s="192" customFormat="1" ht="15" thickBot="1" x14ac:dyDescent="0.25">
      <c r="A32" s="494"/>
      <c r="B32" s="495" t="s">
        <v>73</v>
      </c>
      <c r="C32" s="496" t="s">
        <v>58</v>
      </c>
      <c r="D32" s="497"/>
      <c r="E32" s="498" t="s">
        <v>116</v>
      </c>
      <c r="F32" s="499">
        <f t="shared" si="4"/>
        <v>2992</v>
      </c>
      <c r="G32" s="275">
        <v>2562</v>
      </c>
      <c r="H32" s="276"/>
      <c r="I32" s="276"/>
      <c r="J32" s="277">
        <v>430</v>
      </c>
      <c r="K32" s="499">
        <f t="shared" si="5"/>
        <v>3372</v>
      </c>
      <c r="L32" s="205">
        <v>2942</v>
      </c>
      <c r="M32" s="205"/>
      <c r="N32" s="205"/>
      <c r="O32" s="277">
        <v>430</v>
      </c>
      <c r="P32" s="499">
        <f t="shared" si="6"/>
        <v>4024</v>
      </c>
      <c r="Q32" s="275">
        <f>'[19]návrh 2015'!$AY$148</f>
        <v>3569</v>
      </c>
      <c r="R32" s="276"/>
      <c r="S32" s="276"/>
      <c r="T32" s="278">
        <f>'[19]návrh 2015'!$AY$150</f>
        <v>455</v>
      </c>
      <c r="U32" s="278">
        <f>'[19]návrh 2015'!$AY$140</f>
        <v>6814</v>
      </c>
      <c r="V32" s="499">
        <f t="shared" si="7"/>
        <v>1032</v>
      </c>
      <c r="W32" s="500">
        <f t="shared" si="0"/>
        <v>1007</v>
      </c>
      <c r="X32" s="500">
        <f t="shared" si="1"/>
        <v>0</v>
      </c>
      <c r="Y32" s="500">
        <f t="shared" si="2"/>
        <v>0</v>
      </c>
      <c r="Z32" s="206">
        <f t="shared" si="3"/>
        <v>25</v>
      </c>
      <c r="AA32" s="499">
        <f t="shared" si="9"/>
        <v>3273</v>
      </c>
      <c r="AB32" s="204">
        <f>2734-AJ32</f>
        <v>2717</v>
      </c>
      <c r="AC32" s="205"/>
      <c r="AD32" s="205"/>
      <c r="AE32" s="206">
        <f t="shared" si="10"/>
        <v>556</v>
      </c>
      <c r="AF32" s="305">
        <f>'[19]návrh 2015'!$AY$140</f>
        <v>6814</v>
      </c>
      <c r="AG32" s="501">
        <v>556472</v>
      </c>
      <c r="AH32" s="502">
        <f t="shared" si="8"/>
        <v>126472</v>
      </c>
      <c r="AI32" s="280">
        <f t="shared" si="11"/>
        <v>445</v>
      </c>
      <c r="AJ32" s="589">
        <v>17</v>
      </c>
    </row>
    <row r="33" spans="1:36" s="192" customFormat="1" ht="15" thickBot="1" x14ac:dyDescent="0.25">
      <c r="A33" s="494"/>
      <c r="B33" s="495" t="s">
        <v>71</v>
      </c>
      <c r="C33" s="496" t="s">
        <v>72</v>
      </c>
      <c r="D33" s="497"/>
      <c r="E33" s="498" t="s">
        <v>117</v>
      </c>
      <c r="F33" s="499">
        <f t="shared" si="4"/>
        <v>1058</v>
      </c>
      <c r="G33" s="275">
        <v>1044</v>
      </c>
      <c r="H33" s="276"/>
      <c r="I33" s="276"/>
      <c r="J33" s="277">
        <f>84-70</f>
        <v>14</v>
      </c>
      <c r="K33" s="499">
        <f t="shared" si="5"/>
        <v>1639</v>
      </c>
      <c r="L33" s="205">
        <v>1625</v>
      </c>
      <c r="M33" s="205"/>
      <c r="N33" s="205"/>
      <c r="O33" s="277">
        <f>84-70</f>
        <v>14</v>
      </c>
      <c r="P33" s="499">
        <f t="shared" si="6"/>
        <v>1639</v>
      </c>
      <c r="Q33" s="275">
        <f>'[20]návrh 2015'!$AY$148</f>
        <v>1625</v>
      </c>
      <c r="R33" s="276"/>
      <c r="S33" s="276"/>
      <c r="T33" s="278">
        <f>'[20]návrh 2015'!$AY$150</f>
        <v>14</v>
      </c>
      <c r="U33" s="278">
        <f>'[20]návrh 2015'!$AY$140</f>
        <v>2606</v>
      </c>
      <c r="V33" s="499">
        <f t="shared" si="7"/>
        <v>581</v>
      </c>
      <c r="W33" s="500">
        <f t="shared" si="0"/>
        <v>581</v>
      </c>
      <c r="X33" s="500">
        <f t="shared" si="1"/>
        <v>0</v>
      </c>
      <c r="Y33" s="500">
        <f t="shared" si="2"/>
        <v>0</v>
      </c>
      <c r="Z33" s="206">
        <f t="shared" si="3"/>
        <v>0</v>
      </c>
      <c r="AA33" s="499">
        <f t="shared" si="9"/>
        <v>1151</v>
      </c>
      <c r="AB33" s="204">
        <f>1035-AJ33</f>
        <v>1028</v>
      </c>
      <c r="AC33" s="205"/>
      <c r="AD33" s="205"/>
      <c r="AE33" s="206">
        <f t="shared" si="10"/>
        <v>123</v>
      </c>
      <c r="AF33" s="305">
        <f>'[20]návrh 2015'!$AY$140</f>
        <v>2606</v>
      </c>
      <c r="AG33" s="501">
        <v>123490</v>
      </c>
      <c r="AH33" s="502">
        <f t="shared" si="8"/>
        <v>109490</v>
      </c>
      <c r="AI33" s="280">
        <f t="shared" si="11"/>
        <v>98</v>
      </c>
      <c r="AJ33" s="589">
        <v>7</v>
      </c>
    </row>
    <row r="34" spans="1:36" s="192" customFormat="1" ht="15" thickBot="1" x14ac:dyDescent="0.25">
      <c r="A34" s="494"/>
      <c r="B34" s="495" t="s">
        <v>70</v>
      </c>
      <c r="C34" s="496" t="s">
        <v>58</v>
      </c>
      <c r="D34" s="497"/>
      <c r="E34" s="498" t="s">
        <v>118</v>
      </c>
      <c r="F34" s="499">
        <f t="shared" si="4"/>
        <v>5118</v>
      </c>
      <c r="G34" s="275">
        <v>4125</v>
      </c>
      <c r="H34" s="276"/>
      <c r="I34" s="276"/>
      <c r="J34" s="277">
        <v>993</v>
      </c>
      <c r="K34" s="499">
        <f t="shared" si="5"/>
        <v>10218</v>
      </c>
      <c r="L34" s="205">
        <v>9225</v>
      </c>
      <c r="M34" s="205"/>
      <c r="N34" s="205"/>
      <c r="O34" s="277">
        <v>993</v>
      </c>
      <c r="P34" s="499">
        <f t="shared" si="6"/>
        <v>10233</v>
      </c>
      <c r="Q34" s="275">
        <f>'[21]návrh 2015'!$AY$148</f>
        <v>9225</v>
      </c>
      <c r="R34" s="276"/>
      <c r="S34" s="276"/>
      <c r="T34" s="278">
        <f>'[21]návrh 2015'!$AY$150</f>
        <v>1008</v>
      </c>
      <c r="U34" s="278">
        <f>'[21]návrh 2015'!$AY$140</f>
        <v>11583</v>
      </c>
      <c r="V34" s="499">
        <f t="shared" si="7"/>
        <v>5115</v>
      </c>
      <c r="W34" s="500">
        <f t="shared" si="0"/>
        <v>5100</v>
      </c>
      <c r="X34" s="500">
        <f t="shared" si="1"/>
        <v>0</v>
      </c>
      <c r="Y34" s="500">
        <f t="shared" si="2"/>
        <v>0</v>
      </c>
      <c r="Z34" s="206">
        <f t="shared" si="3"/>
        <v>15</v>
      </c>
      <c r="AA34" s="499">
        <f t="shared" si="9"/>
        <v>9367</v>
      </c>
      <c r="AB34" s="204">
        <f>8447-AJ34</f>
        <v>8410</v>
      </c>
      <c r="AC34" s="205"/>
      <c r="AD34" s="205"/>
      <c r="AE34" s="206">
        <f t="shared" si="10"/>
        <v>957</v>
      </c>
      <c r="AF34" s="305">
        <f>'[21]návrh 2015'!$AY$140</f>
        <v>11583</v>
      </c>
      <c r="AG34" s="501">
        <v>957058</v>
      </c>
      <c r="AH34" s="502">
        <f t="shared" si="8"/>
        <v>-35942</v>
      </c>
      <c r="AI34" s="280">
        <f t="shared" si="11"/>
        <v>766</v>
      </c>
      <c r="AJ34" s="589">
        <v>37</v>
      </c>
    </row>
    <row r="35" spans="1:36" s="192" customFormat="1" ht="15" thickBot="1" x14ac:dyDescent="0.25">
      <c r="A35" s="494"/>
      <c r="B35" s="495" t="s">
        <v>69</v>
      </c>
      <c r="C35" s="496" t="s">
        <v>58</v>
      </c>
      <c r="D35" s="497"/>
      <c r="E35" s="498" t="s">
        <v>119</v>
      </c>
      <c r="F35" s="499">
        <f t="shared" si="4"/>
        <v>1777</v>
      </c>
      <c r="G35" s="275">
        <v>1478</v>
      </c>
      <c r="H35" s="276"/>
      <c r="I35" s="276"/>
      <c r="J35" s="277">
        <v>299</v>
      </c>
      <c r="K35" s="499">
        <f t="shared" si="5"/>
        <v>3002</v>
      </c>
      <c r="L35" s="205">
        <v>2703</v>
      </c>
      <c r="M35" s="205"/>
      <c r="N35" s="205"/>
      <c r="O35" s="277">
        <v>299</v>
      </c>
      <c r="P35" s="499">
        <f t="shared" si="6"/>
        <v>3563</v>
      </c>
      <c r="Q35" s="275">
        <f>'[22]návrh 2015'!$AY$148</f>
        <v>3235</v>
      </c>
      <c r="R35" s="276"/>
      <c r="S35" s="276"/>
      <c r="T35" s="278">
        <f>'[22]návrh 2015'!$AY$150</f>
        <v>328</v>
      </c>
      <c r="U35" s="278">
        <f>'[22]návrh 2015'!$AY$140</f>
        <v>5014</v>
      </c>
      <c r="V35" s="499">
        <f t="shared" si="7"/>
        <v>1786</v>
      </c>
      <c r="W35" s="500">
        <f t="shared" si="0"/>
        <v>1757</v>
      </c>
      <c r="X35" s="500">
        <f t="shared" si="1"/>
        <v>0</v>
      </c>
      <c r="Y35" s="500">
        <f t="shared" si="2"/>
        <v>0</v>
      </c>
      <c r="Z35" s="206">
        <f t="shared" si="3"/>
        <v>29</v>
      </c>
      <c r="AA35" s="499">
        <f t="shared" si="9"/>
        <v>2971</v>
      </c>
      <c r="AB35" s="204">
        <f>2568-AJ35</f>
        <v>2542</v>
      </c>
      <c r="AC35" s="205"/>
      <c r="AD35" s="205"/>
      <c r="AE35" s="206">
        <f t="shared" si="10"/>
        <v>429</v>
      </c>
      <c r="AF35" s="305">
        <f>'[22]návrh 2015'!$AY$140</f>
        <v>5014</v>
      </c>
      <c r="AG35" s="501">
        <v>428983</v>
      </c>
      <c r="AH35" s="502">
        <f t="shared" si="8"/>
        <v>129983</v>
      </c>
      <c r="AI35" s="280">
        <f t="shared" si="11"/>
        <v>343</v>
      </c>
      <c r="AJ35" s="589">
        <v>26</v>
      </c>
    </row>
    <row r="36" spans="1:36" s="192" customFormat="1" ht="15" thickBot="1" x14ac:dyDescent="0.25">
      <c r="A36" s="494"/>
      <c r="B36" s="495" t="s">
        <v>68</v>
      </c>
      <c r="C36" s="496" t="s">
        <v>58</v>
      </c>
      <c r="D36" s="497"/>
      <c r="E36" s="498" t="s">
        <v>120</v>
      </c>
      <c r="F36" s="499">
        <f t="shared" si="4"/>
        <v>4805</v>
      </c>
      <c r="G36" s="275">
        <v>3633</v>
      </c>
      <c r="H36" s="276"/>
      <c r="I36" s="276"/>
      <c r="J36" s="277">
        <v>1172</v>
      </c>
      <c r="K36" s="499">
        <f t="shared" si="5"/>
        <v>5628</v>
      </c>
      <c r="L36" s="205">
        <v>4871</v>
      </c>
      <c r="M36" s="205"/>
      <c r="N36" s="205"/>
      <c r="O36" s="277">
        <v>757</v>
      </c>
      <c r="P36" s="499">
        <f t="shared" si="6"/>
        <v>5694</v>
      </c>
      <c r="Q36" s="275">
        <f>'[23]návrh 2015'!$AY$148</f>
        <v>4871</v>
      </c>
      <c r="R36" s="276"/>
      <c r="S36" s="276"/>
      <c r="T36" s="278">
        <f>'[23]návrh 2015'!$AY$150</f>
        <v>823</v>
      </c>
      <c r="U36" s="278">
        <f>'[23]návrh 2015'!$AY$140</f>
        <v>10961</v>
      </c>
      <c r="V36" s="499">
        <f t="shared" si="7"/>
        <v>889</v>
      </c>
      <c r="W36" s="500">
        <f t="shared" si="0"/>
        <v>1238</v>
      </c>
      <c r="X36" s="500">
        <f t="shared" si="1"/>
        <v>0</v>
      </c>
      <c r="Y36" s="500">
        <f t="shared" si="2"/>
        <v>0</v>
      </c>
      <c r="Z36" s="206">
        <f t="shared" si="3"/>
        <v>-349</v>
      </c>
      <c r="AA36" s="499">
        <f t="shared" si="9"/>
        <v>5614</v>
      </c>
      <c r="AB36" s="204">
        <f>4541-AJ36</f>
        <v>4515</v>
      </c>
      <c r="AC36" s="205"/>
      <c r="AD36" s="205"/>
      <c r="AE36" s="206">
        <f t="shared" si="10"/>
        <v>1099</v>
      </c>
      <c r="AF36" s="305">
        <f>'[23]návrh 2015'!$AY$140</f>
        <v>10961</v>
      </c>
      <c r="AG36" s="501">
        <v>1098990</v>
      </c>
      <c r="AH36" s="502">
        <f t="shared" si="8"/>
        <v>-73010</v>
      </c>
      <c r="AI36" s="280">
        <f t="shared" si="11"/>
        <v>879</v>
      </c>
      <c r="AJ36" s="589">
        <v>26</v>
      </c>
    </row>
    <row r="37" spans="1:36" s="192" customFormat="1" ht="15" thickBot="1" x14ac:dyDescent="0.25">
      <c r="A37" s="494"/>
      <c r="B37" s="495" t="s">
        <v>66</v>
      </c>
      <c r="C37" s="496" t="s">
        <v>67</v>
      </c>
      <c r="D37" s="497"/>
      <c r="E37" s="498" t="s">
        <v>121</v>
      </c>
      <c r="F37" s="499">
        <f t="shared" si="4"/>
        <v>2137</v>
      </c>
      <c r="G37" s="275">
        <v>1905</v>
      </c>
      <c r="H37" s="276"/>
      <c r="I37" s="276"/>
      <c r="J37" s="277">
        <v>232</v>
      </c>
      <c r="K37" s="499">
        <f t="shared" si="5"/>
        <v>2137</v>
      </c>
      <c r="L37" s="205">
        <v>1905</v>
      </c>
      <c r="M37" s="205"/>
      <c r="N37" s="205"/>
      <c r="O37" s="277">
        <v>232</v>
      </c>
      <c r="P37" s="499">
        <f t="shared" si="6"/>
        <v>2372</v>
      </c>
      <c r="Q37" s="275">
        <f>'[24]návrh 2015'!$AY$148</f>
        <v>2140</v>
      </c>
      <c r="R37" s="276"/>
      <c r="S37" s="276"/>
      <c r="T37" s="278">
        <f>'[24]návrh 2015'!$AY$150</f>
        <v>232</v>
      </c>
      <c r="U37" s="278">
        <f>'[24]návrh 2015'!$AY$140</f>
        <v>5818</v>
      </c>
      <c r="V37" s="499">
        <f t="shared" si="7"/>
        <v>235</v>
      </c>
      <c r="W37" s="500">
        <f t="shared" si="0"/>
        <v>235</v>
      </c>
      <c r="X37" s="500">
        <f t="shared" si="1"/>
        <v>0</v>
      </c>
      <c r="Y37" s="500">
        <f t="shared" si="2"/>
        <v>0</v>
      </c>
      <c r="Z37" s="206">
        <f t="shared" si="3"/>
        <v>0</v>
      </c>
      <c r="AA37" s="499">
        <f t="shared" si="9"/>
        <v>1729</v>
      </c>
      <c r="AB37" s="204">
        <f>1413-AJ37</f>
        <v>1410</v>
      </c>
      <c r="AC37" s="205"/>
      <c r="AD37" s="205"/>
      <c r="AE37" s="206">
        <f t="shared" si="10"/>
        <v>319</v>
      </c>
      <c r="AF37" s="305">
        <f>'[24]návrh 2015'!$AY$140</f>
        <v>5818</v>
      </c>
      <c r="AG37" s="501">
        <v>319152</v>
      </c>
      <c r="AH37" s="502">
        <f t="shared" si="8"/>
        <v>87152</v>
      </c>
      <c r="AI37" s="280">
        <f t="shared" si="11"/>
        <v>255</v>
      </c>
      <c r="AJ37" s="589">
        <v>3</v>
      </c>
    </row>
    <row r="38" spans="1:36" s="192" customFormat="1" ht="14.25" customHeight="1" thickBot="1" x14ac:dyDescent="0.25">
      <c r="A38" s="494"/>
      <c r="B38" s="495" t="s">
        <v>65</v>
      </c>
      <c r="C38" s="496" t="s">
        <v>58</v>
      </c>
      <c r="D38" s="497"/>
      <c r="E38" s="498" t="s">
        <v>122</v>
      </c>
      <c r="F38" s="499">
        <f t="shared" si="4"/>
        <v>10786</v>
      </c>
      <c r="G38" s="275">
        <v>6888</v>
      </c>
      <c r="H38" s="276"/>
      <c r="I38" s="276"/>
      <c r="J38" s="277">
        <f>3888+10</f>
        <v>3898</v>
      </c>
      <c r="K38" s="499">
        <f t="shared" si="5"/>
        <v>12109</v>
      </c>
      <c r="L38" s="205">
        <v>8211</v>
      </c>
      <c r="M38" s="205"/>
      <c r="N38" s="205"/>
      <c r="O38" s="277">
        <f>3888+10</f>
        <v>3898</v>
      </c>
      <c r="P38" s="499">
        <f t="shared" si="6"/>
        <v>15954</v>
      </c>
      <c r="Q38" s="275">
        <f>'[25]návrh 2015'!$AY$148</f>
        <v>11999</v>
      </c>
      <c r="R38" s="276"/>
      <c r="S38" s="276"/>
      <c r="T38" s="278">
        <f>'[25]návrh 2015'!$AY$150</f>
        <v>3955</v>
      </c>
      <c r="U38" s="278">
        <f>'[25]návrh 2015'!$AY$140</f>
        <v>17811</v>
      </c>
      <c r="V38" s="499">
        <f t="shared" si="7"/>
        <v>5168</v>
      </c>
      <c r="W38" s="500">
        <f t="shared" si="0"/>
        <v>5111</v>
      </c>
      <c r="X38" s="500">
        <f t="shared" si="1"/>
        <v>0</v>
      </c>
      <c r="Y38" s="500">
        <f t="shared" si="2"/>
        <v>0</v>
      </c>
      <c r="Z38" s="206">
        <f t="shared" si="3"/>
        <v>57</v>
      </c>
      <c r="AA38" s="499">
        <f t="shared" si="9"/>
        <v>16167</v>
      </c>
      <c r="AB38" s="204">
        <f>11999-204-700-AJ38</f>
        <v>11043</v>
      </c>
      <c r="AC38" s="205"/>
      <c r="AD38" s="205"/>
      <c r="AE38" s="206">
        <f t="shared" si="10"/>
        <v>5124</v>
      </c>
      <c r="AF38" s="305">
        <f>'[25]návrh 2015'!$AY$140</f>
        <v>17811</v>
      </c>
      <c r="AG38" s="501">
        <v>5124305</v>
      </c>
      <c r="AH38" s="502">
        <f t="shared" si="8"/>
        <v>1226305</v>
      </c>
      <c r="AI38" s="280">
        <f t="shared" si="11"/>
        <v>4099</v>
      </c>
      <c r="AJ38" s="589">
        <v>52</v>
      </c>
    </row>
    <row r="39" spans="1:36" s="192" customFormat="1" ht="15" thickBot="1" x14ac:dyDescent="0.25">
      <c r="A39" s="494"/>
      <c r="B39" s="495" t="s">
        <v>64</v>
      </c>
      <c r="C39" s="496" t="s">
        <v>58</v>
      </c>
      <c r="D39" s="497"/>
      <c r="E39" s="498" t="s">
        <v>123</v>
      </c>
      <c r="F39" s="499">
        <f t="shared" si="4"/>
        <v>3987</v>
      </c>
      <c r="G39" s="275">
        <v>2649</v>
      </c>
      <c r="H39" s="276"/>
      <c r="I39" s="276"/>
      <c r="J39" s="277">
        <v>1338</v>
      </c>
      <c r="K39" s="499">
        <f t="shared" si="5"/>
        <v>3987</v>
      </c>
      <c r="L39" s="205">
        <v>2649</v>
      </c>
      <c r="M39" s="205"/>
      <c r="N39" s="205"/>
      <c r="O39" s="277">
        <v>1338</v>
      </c>
      <c r="P39" s="499">
        <f t="shared" si="6"/>
        <v>4926</v>
      </c>
      <c r="Q39" s="275">
        <f>'[26]návrh 2015'!$AY$148</f>
        <v>2926</v>
      </c>
      <c r="R39" s="276"/>
      <c r="S39" s="276"/>
      <c r="T39" s="278">
        <f>'[26]návrh 2015'!$AY$150</f>
        <v>2000</v>
      </c>
      <c r="U39" s="278">
        <f>'[26]návrh 2015'!$AY$140</f>
        <v>9000</v>
      </c>
      <c r="V39" s="499">
        <f t="shared" si="7"/>
        <v>939</v>
      </c>
      <c r="W39" s="500">
        <f t="shared" si="0"/>
        <v>277</v>
      </c>
      <c r="X39" s="500">
        <f t="shared" si="1"/>
        <v>0</v>
      </c>
      <c r="Y39" s="500">
        <f t="shared" si="2"/>
        <v>0</v>
      </c>
      <c r="Z39" s="206">
        <f t="shared" si="3"/>
        <v>662</v>
      </c>
      <c r="AA39" s="499">
        <f t="shared" si="9"/>
        <v>6639</v>
      </c>
      <c r="AB39" s="204">
        <f>2926-AJ39</f>
        <v>2875</v>
      </c>
      <c r="AC39" s="205"/>
      <c r="AD39" s="205"/>
      <c r="AE39" s="206">
        <f t="shared" si="10"/>
        <v>3764</v>
      </c>
      <c r="AF39" s="305">
        <f>'[26]návrh 2015'!$AY$140</f>
        <v>9000</v>
      </c>
      <c r="AG39" s="501">
        <v>3764453</v>
      </c>
      <c r="AH39" s="502">
        <f t="shared" si="8"/>
        <v>2426453</v>
      </c>
      <c r="AI39" s="280">
        <f t="shared" si="11"/>
        <v>3011</v>
      </c>
      <c r="AJ39" s="589">
        <v>51</v>
      </c>
    </row>
    <row r="40" spans="1:36" s="192" customFormat="1" ht="15" thickBot="1" x14ac:dyDescent="0.25">
      <c r="A40" s="494"/>
      <c r="B40" s="495" t="s">
        <v>63</v>
      </c>
      <c r="C40" s="496" t="s">
        <v>58</v>
      </c>
      <c r="D40" s="497"/>
      <c r="E40" s="498" t="s">
        <v>124</v>
      </c>
      <c r="F40" s="499">
        <f t="shared" si="4"/>
        <v>3016</v>
      </c>
      <c r="G40" s="275">
        <v>2607</v>
      </c>
      <c r="H40" s="276"/>
      <c r="I40" s="276"/>
      <c r="J40" s="277">
        <v>409</v>
      </c>
      <c r="K40" s="499">
        <f t="shared" si="5"/>
        <v>4515</v>
      </c>
      <c r="L40" s="205">
        <v>4106</v>
      </c>
      <c r="M40" s="205"/>
      <c r="N40" s="205"/>
      <c r="O40" s="277">
        <v>409</v>
      </c>
      <c r="P40" s="499">
        <f t="shared" si="6"/>
        <v>4701</v>
      </c>
      <c r="Q40" s="275">
        <f>'[27]návrh 2015'!$AY$148</f>
        <v>4254</v>
      </c>
      <c r="R40" s="276"/>
      <c r="S40" s="276"/>
      <c r="T40" s="278">
        <f>'[27]návrh 2015'!$AY$150</f>
        <v>447</v>
      </c>
      <c r="U40" s="278">
        <f>'[27]návrh 2015'!$AY$140</f>
        <v>9006</v>
      </c>
      <c r="V40" s="499">
        <f t="shared" si="7"/>
        <v>1685</v>
      </c>
      <c r="W40" s="500">
        <f t="shared" si="0"/>
        <v>1647</v>
      </c>
      <c r="X40" s="500">
        <f t="shared" si="1"/>
        <v>0</v>
      </c>
      <c r="Y40" s="500">
        <f t="shared" si="2"/>
        <v>0</v>
      </c>
      <c r="Z40" s="206">
        <f t="shared" si="3"/>
        <v>38</v>
      </c>
      <c r="AA40" s="499">
        <f t="shared" si="9"/>
        <v>4672</v>
      </c>
      <c r="AB40" s="204">
        <f>Q40-180-40-AJ40</f>
        <v>4005</v>
      </c>
      <c r="AC40" s="205"/>
      <c r="AD40" s="205"/>
      <c r="AE40" s="206">
        <f t="shared" si="10"/>
        <v>667</v>
      </c>
      <c r="AF40" s="305">
        <f>'[27]návrh 2015'!$AY$140</f>
        <v>9006</v>
      </c>
      <c r="AG40" s="501">
        <v>666758</v>
      </c>
      <c r="AH40" s="502">
        <f t="shared" si="8"/>
        <v>257758</v>
      </c>
      <c r="AI40" s="280">
        <f t="shared" si="11"/>
        <v>534</v>
      </c>
      <c r="AJ40" s="589">
        <v>29</v>
      </c>
    </row>
    <row r="41" spans="1:36" s="192" customFormat="1" ht="15" thickBot="1" x14ac:dyDescent="0.25">
      <c r="A41" s="494"/>
      <c r="B41" s="495" t="s">
        <v>62</v>
      </c>
      <c r="C41" s="496" t="s">
        <v>58</v>
      </c>
      <c r="D41" s="497"/>
      <c r="E41" s="498" t="s">
        <v>125</v>
      </c>
      <c r="F41" s="499">
        <f t="shared" si="4"/>
        <v>5391</v>
      </c>
      <c r="G41" s="275">
        <v>3047</v>
      </c>
      <c r="H41" s="276"/>
      <c r="I41" s="276"/>
      <c r="J41" s="277">
        <v>2344</v>
      </c>
      <c r="K41" s="499">
        <f t="shared" si="5"/>
        <v>5391</v>
      </c>
      <c r="L41" s="205">
        <v>3047</v>
      </c>
      <c r="M41" s="205"/>
      <c r="N41" s="205"/>
      <c r="O41" s="277">
        <v>2344</v>
      </c>
      <c r="P41" s="499">
        <f t="shared" si="6"/>
        <v>5392</v>
      </c>
      <c r="Q41" s="275">
        <f>'[28]návrh 2015'!$AY$148</f>
        <v>3000</v>
      </c>
      <c r="R41" s="276"/>
      <c r="S41" s="276"/>
      <c r="T41" s="278">
        <f>'[28]návrh 2015'!$AY$150</f>
        <v>2392</v>
      </c>
      <c r="U41" s="278">
        <f>'[28]návrh 2015'!$AY$140</f>
        <v>8401</v>
      </c>
      <c r="V41" s="499">
        <f t="shared" si="7"/>
        <v>1</v>
      </c>
      <c r="W41" s="500">
        <f t="shared" si="0"/>
        <v>-47</v>
      </c>
      <c r="X41" s="500">
        <f t="shared" si="1"/>
        <v>0</v>
      </c>
      <c r="Y41" s="500">
        <f t="shared" si="2"/>
        <v>0</v>
      </c>
      <c r="Z41" s="206">
        <f t="shared" si="3"/>
        <v>48</v>
      </c>
      <c r="AA41" s="499">
        <f t="shared" si="9"/>
        <v>5082</v>
      </c>
      <c r="AB41" s="204">
        <f>2600-AJ41</f>
        <v>2571</v>
      </c>
      <c r="AC41" s="205"/>
      <c r="AD41" s="205"/>
      <c r="AE41" s="206">
        <f t="shared" si="10"/>
        <v>2511</v>
      </c>
      <c r="AF41" s="305">
        <f>'[28]návrh 2015'!$AY$140</f>
        <v>8401</v>
      </c>
      <c r="AG41" s="501">
        <v>2511427.69</v>
      </c>
      <c r="AH41" s="502">
        <f t="shared" si="8"/>
        <v>167427.68999999994</v>
      </c>
      <c r="AI41" s="280">
        <f t="shared" si="11"/>
        <v>2009</v>
      </c>
      <c r="AJ41" s="589">
        <v>29</v>
      </c>
    </row>
    <row r="42" spans="1:36" s="192" customFormat="1" ht="15" thickBot="1" x14ac:dyDescent="0.25">
      <c r="A42" s="494"/>
      <c r="B42" s="495" t="s">
        <v>61</v>
      </c>
      <c r="C42" s="496" t="s">
        <v>58</v>
      </c>
      <c r="D42" s="497"/>
      <c r="E42" s="498" t="s">
        <v>126</v>
      </c>
      <c r="F42" s="499">
        <f t="shared" si="4"/>
        <v>2286</v>
      </c>
      <c r="G42" s="275">
        <v>1492</v>
      </c>
      <c r="H42" s="276"/>
      <c r="I42" s="276"/>
      <c r="J42" s="277">
        <v>794</v>
      </c>
      <c r="K42" s="499">
        <f t="shared" si="5"/>
        <v>2286</v>
      </c>
      <c r="L42" s="205">
        <v>1492</v>
      </c>
      <c r="M42" s="205"/>
      <c r="N42" s="205"/>
      <c r="O42" s="277">
        <v>794</v>
      </c>
      <c r="P42" s="499">
        <f t="shared" si="6"/>
        <v>2679</v>
      </c>
      <c r="Q42" s="275">
        <f>'[29]návrh 2015'!$AY$148</f>
        <v>1874</v>
      </c>
      <c r="R42" s="276"/>
      <c r="S42" s="276"/>
      <c r="T42" s="278">
        <f>'[29]návrh 2015'!$AY$150</f>
        <v>805</v>
      </c>
      <c r="U42" s="278">
        <f>'[29]návrh 2015'!$AY$140</f>
        <v>6151</v>
      </c>
      <c r="V42" s="499">
        <f t="shared" si="7"/>
        <v>393</v>
      </c>
      <c r="W42" s="500">
        <f t="shared" si="0"/>
        <v>382</v>
      </c>
      <c r="X42" s="500">
        <f t="shared" si="1"/>
        <v>0</v>
      </c>
      <c r="Y42" s="500">
        <f t="shared" si="2"/>
        <v>0</v>
      </c>
      <c r="Z42" s="206">
        <f t="shared" si="3"/>
        <v>11</v>
      </c>
      <c r="AA42" s="499">
        <f t="shared" si="9"/>
        <v>1909</v>
      </c>
      <c r="AB42" s="204">
        <f>824-AJ42</f>
        <v>807</v>
      </c>
      <c r="AC42" s="205"/>
      <c r="AD42" s="205"/>
      <c r="AE42" s="206">
        <f t="shared" si="10"/>
        <v>1102</v>
      </c>
      <c r="AF42" s="305">
        <f>'[29]návrh 2015'!$AY$140</f>
        <v>6151</v>
      </c>
      <c r="AG42" s="501">
        <v>1101587</v>
      </c>
      <c r="AH42" s="502">
        <f t="shared" si="8"/>
        <v>307587</v>
      </c>
      <c r="AI42" s="280">
        <f t="shared" si="11"/>
        <v>882</v>
      </c>
      <c r="AJ42" s="589">
        <v>17</v>
      </c>
    </row>
    <row r="43" spans="1:36" s="192" customFormat="1" ht="15" thickBot="1" x14ac:dyDescent="0.25">
      <c r="A43" s="494"/>
      <c r="B43" s="495" t="s">
        <v>60</v>
      </c>
      <c r="C43" s="496" t="s">
        <v>58</v>
      </c>
      <c r="D43" s="497"/>
      <c r="E43" s="498" t="s">
        <v>127</v>
      </c>
      <c r="F43" s="499">
        <f t="shared" si="4"/>
        <v>3333</v>
      </c>
      <c r="G43" s="275">
        <v>2369</v>
      </c>
      <c r="H43" s="276"/>
      <c r="I43" s="276"/>
      <c r="J43" s="277">
        <v>964</v>
      </c>
      <c r="K43" s="499">
        <f t="shared" si="5"/>
        <v>3689</v>
      </c>
      <c r="L43" s="205">
        <v>2725</v>
      </c>
      <c r="M43" s="205"/>
      <c r="N43" s="205"/>
      <c r="O43" s="277">
        <v>964</v>
      </c>
      <c r="P43" s="499">
        <f t="shared" si="6"/>
        <v>3505</v>
      </c>
      <c r="Q43" s="275">
        <f>'[30]návrh 2015'!$AY$148</f>
        <v>2501</v>
      </c>
      <c r="R43" s="276"/>
      <c r="S43" s="276"/>
      <c r="T43" s="278">
        <f>'[30]návrh 2015'!$AY$150</f>
        <v>1004</v>
      </c>
      <c r="U43" s="278">
        <f>'[30]návrh 2015'!$AY$140</f>
        <v>6446</v>
      </c>
      <c r="V43" s="499">
        <f t="shared" si="7"/>
        <v>172</v>
      </c>
      <c r="W43" s="500">
        <f t="shared" si="0"/>
        <v>132</v>
      </c>
      <c r="X43" s="500">
        <f t="shared" si="1"/>
        <v>0</v>
      </c>
      <c r="Y43" s="500">
        <f t="shared" si="2"/>
        <v>0</v>
      </c>
      <c r="Z43" s="206">
        <f t="shared" si="3"/>
        <v>40</v>
      </c>
      <c r="AA43" s="499">
        <f t="shared" si="9"/>
        <v>3454</v>
      </c>
      <c r="AB43" s="204">
        <f>2270-AJ43</f>
        <v>2239</v>
      </c>
      <c r="AC43" s="205"/>
      <c r="AD43" s="205"/>
      <c r="AE43" s="206">
        <f t="shared" si="10"/>
        <v>1215</v>
      </c>
      <c r="AF43" s="305">
        <f>'[30]návrh 2015'!$AY$140</f>
        <v>6446</v>
      </c>
      <c r="AG43" s="501">
        <v>1214821</v>
      </c>
      <c r="AH43" s="502">
        <f t="shared" si="8"/>
        <v>250821</v>
      </c>
      <c r="AI43" s="280">
        <f t="shared" si="11"/>
        <v>972</v>
      </c>
      <c r="AJ43" s="589">
        <v>31</v>
      </c>
    </row>
    <row r="44" spans="1:36" s="192" customFormat="1" ht="15" thickBot="1" x14ac:dyDescent="0.25">
      <c r="A44" s="494"/>
      <c r="B44" s="495" t="s">
        <v>59</v>
      </c>
      <c r="C44" s="496" t="s">
        <v>58</v>
      </c>
      <c r="D44" s="497"/>
      <c r="E44" s="498" t="s">
        <v>128</v>
      </c>
      <c r="F44" s="499">
        <f t="shared" si="4"/>
        <v>3403</v>
      </c>
      <c r="G44" s="275">
        <v>2400</v>
      </c>
      <c r="H44" s="276"/>
      <c r="I44" s="276"/>
      <c r="J44" s="277">
        <v>1003</v>
      </c>
      <c r="K44" s="499">
        <f t="shared" si="5"/>
        <v>4963</v>
      </c>
      <c r="L44" s="205">
        <v>3960</v>
      </c>
      <c r="M44" s="205"/>
      <c r="N44" s="205"/>
      <c r="O44" s="277">
        <v>1003</v>
      </c>
      <c r="P44" s="499">
        <f t="shared" si="6"/>
        <v>5328</v>
      </c>
      <c r="Q44" s="275">
        <f>'[31]návrh 2015'!$AY$148</f>
        <v>4321</v>
      </c>
      <c r="R44" s="276"/>
      <c r="S44" s="276"/>
      <c r="T44" s="278">
        <f>'[31]návrh 2015'!$AY$150</f>
        <v>1007</v>
      </c>
      <c r="U44" s="278">
        <f>'[31]návrh 2015'!$AY$140</f>
        <v>7248</v>
      </c>
      <c r="V44" s="499">
        <f t="shared" si="7"/>
        <v>1925</v>
      </c>
      <c r="W44" s="500">
        <f t="shared" si="0"/>
        <v>1921</v>
      </c>
      <c r="X44" s="500">
        <f t="shared" si="1"/>
        <v>0</v>
      </c>
      <c r="Y44" s="500">
        <f t="shared" si="2"/>
        <v>0</v>
      </c>
      <c r="Z44" s="206">
        <f t="shared" si="3"/>
        <v>4</v>
      </c>
      <c r="AA44" s="499">
        <f t="shared" si="9"/>
        <v>5066</v>
      </c>
      <c r="AB44" s="204">
        <f>3982-AJ44</f>
        <v>3955</v>
      </c>
      <c r="AC44" s="205"/>
      <c r="AD44" s="205"/>
      <c r="AE44" s="206">
        <f t="shared" si="10"/>
        <v>1111</v>
      </c>
      <c r="AF44" s="305">
        <f>'[31]návrh 2015'!$AY$140</f>
        <v>7248</v>
      </c>
      <c r="AG44" s="501">
        <v>1111016</v>
      </c>
      <c r="AH44" s="502">
        <f t="shared" si="8"/>
        <v>108016</v>
      </c>
      <c r="AI44" s="280">
        <f t="shared" si="11"/>
        <v>889</v>
      </c>
      <c r="AJ44" s="589">
        <v>27</v>
      </c>
    </row>
    <row r="45" spans="1:36" s="192" customFormat="1" ht="15" thickBot="1" x14ac:dyDescent="0.25">
      <c r="A45" s="494"/>
      <c r="B45" s="495" t="s">
        <v>57</v>
      </c>
      <c r="C45" s="496" t="s">
        <v>58</v>
      </c>
      <c r="D45" s="497"/>
      <c r="E45" s="498" t="s">
        <v>129</v>
      </c>
      <c r="F45" s="499">
        <f t="shared" si="4"/>
        <v>6360</v>
      </c>
      <c r="G45" s="275">
        <v>5098</v>
      </c>
      <c r="H45" s="276"/>
      <c r="I45" s="276"/>
      <c r="J45" s="277">
        <v>1262</v>
      </c>
      <c r="K45" s="499">
        <f t="shared" si="5"/>
        <v>6360</v>
      </c>
      <c r="L45" s="205">
        <v>5098</v>
      </c>
      <c r="M45" s="205"/>
      <c r="N45" s="205"/>
      <c r="O45" s="277">
        <v>1262</v>
      </c>
      <c r="P45" s="499">
        <f t="shared" si="6"/>
        <v>6360</v>
      </c>
      <c r="Q45" s="275">
        <f>'[32]návrh 2015'!$AY$148</f>
        <v>5098</v>
      </c>
      <c r="R45" s="276"/>
      <c r="S45" s="276"/>
      <c r="T45" s="278">
        <f>'[32]návrh 2015'!$AY$150</f>
        <v>1262</v>
      </c>
      <c r="U45" s="278">
        <f>'[32]návrh 2015'!$AY$140</f>
        <v>14318</v>
      </c>
      <c r="V45" s="499">
        <f t="shared" si="7"/>
        <v>0</v>
      </c>
      <c r="W45" s="500">
        <f t="shared" si="0"/>
        <v>0</v>
      </c>
      <c r="X45" s="500">
        <f t="shared" si="1"/>
        <v>0</v>
      </c>
      <c r="Y45" s="500">
        <f t="shared" si="2"/>
        <v>0</v>
      </c>
      <c r="Z45" s="206">
        <f t="shared" si="3"/>
        <v>0</v>
      </c>
      <c r="AA45" s="499">
        <f t="shared" si="9"/>
        <v>6104</v>
      </c>
      <c r="AB45" s="204">
        <f>4398-AJ45</f>
        <v>4366</v>
      </c>
      <c r="AC45" s="205"/>
      <c r="AD45" s="205"/>
      <c r="AE45" s="206">
        <f t="shared" si="10"/>
        <v>1738</v>
      </c>
      <c r="AF45" s="305">
        <f>'[32]návrh 2015'!$AY$140</f>
        <v>14318</v>
      </c>
      <c r="AG45" s="501">
        <v>1738471.5</v>
      </c>
      <c r="AH45" s="502">
        <f t="shared" si="8"/>
        <v>476471.5</v>
      </c>
      <c r="AI45" s="280">
        <f t="shared" si="11"/>
        <v>1390</v>
      </c>
      <c r="AJ45" s="589">
        <v>32</v>
      </c>
    </row>
    <row r="46" spans="1:36" s="192" customFormat="1" ht="15.75" thickBot="1" x14ac:dyDescent="0.25">
      <c r="A46" s="494"/>
      <c r="B46" s="747" t="s">
        <v>39</v>
      </c>
      <c r="C46" s="748"/>
      <c r="D46" s="503"/>
      <c r="E46" s="504"/>
      <c r="F46" s="505">
        <f t="shared" ref="F46:Z46" si="12">SUM(F13:F45)</f>
        <v>235000</v>
      </c>
      <c r="G46" s="208">
        <f t="shared" si="12"/>
        <v>203426</v>
      </c>
      <c r="H46" s="208">
        <f t="shared" si="12"/>
        <v>0</v>
      </c>
      <c r="I46" s="208">
        <f t="shared" si="12"/>
        <v>0</v>
      </c>
      <c r="J46" s="506">
        <f t="shared" si="12"/>
        <v>31574</v>
      </c>
      <c r="K46" s="505">
        <f t="shared" si="12"/>
        <v>188339</v>
      </c>
      <c r="L46" s="208">
        <f t="shared" si="12"/>
        <v>154045</v>
      </c>
      <c r="M46" s="208">
        <f t="shared" si="12"/>
        <v>0</v>
      </c>
      <c r="N46" s="208">
        <f t="shared" si="12"/>
        <v>0</v>
      </c>
      <c r="O46" s="506">
        <f t="shared" si="12"/>
        <v>34294</v>
      </c>
      <c r="P46" s="505">
        <f t="shared" si="12"/>
        <v>206632.09</v>
      </c>
      <c r="Q46" s="284">
        <f>SUM(Q13:Q45)</f>
        <v>170021</v>
      </c>
      <c r="R46" s="285">
        <f t="shared" si="12"/>
        <v>0</v>
      </c>
      <c r="S46" s="285">
        <f t="shared" si="12"/>
        <v>0</v>
      </c>
      <c r="T46" s="286">
        <f>SUM(T13:T45)</f>
        <v>36611.089999999997</v>
      </c>
      <c r="U46" s="286">
        <f>SUM(U13:U45)</f>
        <v>304699</v>
      </c>
      <c r="V46" s="505">
        <f t="shared" si="12"/>
        <v>-28367.910000000003</v>
      </c>
      <c r="W46" s="208">
        <f t="shared" si="12"/>
        <v>-33405</v>
      </c>
      <c r="X46" s="208">
        <f t="shared" si="12"/>
        <v>0</v>
      </c>
      <c r="Y46" s="208">
        <f t="shared" si="12"/>
        <v>0</v>
      </c>
      <c r="Z46" s="507">
        <f t="shared" si="12"/>
        <v>5037.09</v>
      </c>
      <c r="AA46" s="505">
        <f t="shared" ref="AA46" si="13">SUM(AA13:AA45)</f>
        <v>195546</v>
      </c>
      <c r="AB46" s="207">
        <f>SUM(AB13:AB45)</f>
        <v>145683</v>
      </c>
      <c r="AC46" s="208">
        <f t="shared" ref="AC46:AD46" si="14">SUM(AC13:AC45)</f>
        <v>0</v>
      </c>
      <c r="AD46" s="208">
        <f t="shared" si="14"/>
        <v>0</v>
      </c>
      <c r="AE46" s="209">
        <f>SUM(AE13:AE45)</f>
        <v>49863</v>
      </c>
      <c r="AF46" s="306">
        <f>SUM(AF13:AF45)</f>
        <v>294367</v>
      </c>
      <c r="AG46" s="501">
        <f>SUM(AG14:AG45)</f>
        <v>49865242.549999997</v>
      </c>
      <c r="AI46" s="508">
        <f>SUM(AI14:AI45)</f>
        <v>39891</v>
      </c>
      <c r="AJ46" s="589">
        <f>SUM(AJ14:AJ45)</f>
        <v>907</v>
      </c>
    </row>
    <row r="47" spans="1:36" s="93" customFormat="1" ht="15" customHeight="1" x14ac:dyDescent="0.2">
      <c r="A47" s="91"/>
      <c r="B47" s="290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3"/>
      <c r="P47" s="294"/>
      <c r="Q47" s="294"/>
      <c r="R47" s="294"/>
      <c r="S47" s="294"/>
      <c r="T47" s="294"/>
      <c r="U47" s="298"/>
      <c r="V47" s="92"/>
      <c r="W47" s="92"/>
      <c r="X47" s="92"/>
      <c r="Y47" s="92"/>
      <c r="Z47" s="92"/>
      <c r="AF47" s="298"/>
      <c r="AG47" s="292"/>
      <c r="AI47" s="91"/>
    </row>
    <row r="48" spans="1:36" x14ac:dyDescent="0.2">
      <c r="L48" s="181"/>
      <c r="P48" s="114"/>
      <c r="Q48" s="295"/>
      <c r="R48" s="295"/>
      <c r="S48" s="295"/>
      <c r="T48" s="295"/>
      <c r="U48" s="295"/>
      <c r="AG48" s="181">
        <f>AG47-AG46</f>
        <v>-49865242.549999997</v>
      </c>
    </row>
    <row r="55" spans="10:10" x14ac:dyDescent="0.2">
      <c r="J55" s="280"/>
    </row>
  </sheetData>
  <sheetProtection selectLockedCells="1"/>
  <mergeCells count="12">
    <mergeCell ref="AA8:AE8"/>
    <mergeCell ref="AB12:AE12"/>
    <mergeCell ref="B46:C46"/>
    <mergeCell ref="F8:J8"/>
    <mergeCell ref="K8:O8"/>
    <mergeCell ref="P8:T8"/>
    <mergeCell ref="B9:C9"/>
    <mergeCell ref="G12:J12"/>
    <mergeCell ref="L12:O12"/>
    <mergeCell ref="Q12:T12"/>
    <mergeCell ref="W12:Z12"/>
    <mergeCell ref="V8:Z8"/>
  </mergeCells>
  <conditionalFormatting sqref="F46">
    <cfRule type="cellIs" dxfId="18" priority="14" operator="notEqual">
      <formula>203426+31574</formula>
    </cfRule>
  </conditionalFormatting>
  <conditionalFormatting sqref="K46">
    <cfRule type="cellIs" dxfId="17" priority="13" operator="notEqual">
      <formula>154045+34294</formula>
    </cfRule>
  </conditionalFormatting>
  <conditionalFormatting sqref="G46">
    <cfRule type="cellIs" dxfId="16" priority="9" operator="notEqual">
      <formula>203426</formula>
    </cfRule>
  </conditionalFormatting>
  <conditionalFormatting sqref="L46">
    <cfRule type="cellIs" dxfId="15" priority="8" operator="notEqual">
      <formula>154045</formula>
    </cfRule>
  </conditionalFormatting>
  <conditionalFormatting sqref="J46">
    <cfRule type="cellIs" dxfId="14" priority="7" operator="notEqual">
      <formula>31574</formula>
    </cfRule>
  </conditionalFormatting>
  <conditionalFormatting sqref="O46">
    <cfRule type="cellIs" dxfId="13" priority="6" operator="notEqual">
      <formula>34294</formula>
    </cfRule>
  </conditionalFormatting>
  <conditionalFormatting sqref="AE46">
    <cfRule type="cellIs" dxfId="12" priority="3" operator="notEqual">
      <formula>49863</formula>
    </cfRule>
  </conditionalFormatting>
  <conditionalFormatting sqref="AG46">
    <cfRule type="cellIs" dxfId="11" priority="2" operator="notEqual">
      <formula>49900246.55</formula>
    </cfRule>
  </conditionalFormatting>
  <conditionalFormatting sqref="AF46">
    <cfRule type="cellIs" dxfId="10" priority="1" operator="notEqual">
      <formula>49863</formula>
    </cfRule>
  </conditionalFormatting>
  <printOptions horizontalCentered="1"/>
  <pageMargins left="0.51181102362204722" right="0.11811023622047245" top="0.78740157480314965" bottom="0.78740157480314965" header="0.31496062992125984" footer="0.31496062992125984"/>
  <pageSetup paperSize="9" scale="68" firstPageNumber="68" fitToHeight="9999" orientation="landscape" useFirstPageNumber="1" r:id="rId1"/>
  <headerFooter>
    <oddFooter>&amp;L&amp;"Arial,Kurzíva"&amp;12Zastupitelstvo Olomouckého kraje 12-12-2014
6. - Rozpočet Olomouckého kraje 2015 - návrh rozpočtu
Příloha č. 3b): Příspěvkové organizace zřizované Olomouckým krajem&amp;R&amp;"Arial,Kurzíva"&amp;12Strana &amp;P (celkem 127)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10</vt:i4>
      </vt:variant>
    </vt:vector>
  </HeadingPairs>
  <TitlesOfParts>
    <vt:vector size="28" baseType="lpstr">
      <vt:lpstr>Sumář celkem</vt:lpstr>
      <vt:lpstr>Celkem ORJ -10</vt:lpstr>
      <vt:lpstr>ORJ - 10 - Olomouc</vt:lpstr>
      <vt:lpstr>ORJ - 10 - Přerov</vt:lpstr>
      <vt:lpstr>ORJ - 10 - Jeseník</vt:lpstr>
      <vt:lpstr>ORJ - 10 - Šumperk</vt:lpstr>
      <vt:lpstr>ORJ - 10 - Prostějov</vt:lpstr>
      <vt:lpstr>Celkem ORJ - 11</vt:lpstr>
      <vt:lpstr>PO - sociálníci</vt:lpstr>
      <vt:lpstr>KS soc.</vt:lpstr>
      <vt:lpstr>Celkem ORJ -12</vt:lpstr>
      <vt:lpstr>PO - doprava</vt:lpstr>
      <vt:lpstr>Celkem ORJ 13</vt:lpstr>
      <vt:lpstr>PO - kultura</vt:lpstr>
      <vt:lpstr>Celkem ORJ - 14</vt:lpstr>
      <vt:lpstr>PO - zdravotnictví</vt:lpstr>
      <vt:lpstr>Souhrn</vt:lpstr>
      <vt:lpstr>Rekapitulace 2015</vt:lpstr>
      <vt:lpstr>'ORJ - 10 - Jeseník'!Názvy_tisku</vt:lpstr>
      <vt:lpstr>'ORJ - 10 - Olomouc'!Názvy_tisku</vt:lpstr>
      <vt:lpstr>'ORJ - 10 - Prostějov'!Názvy_tisku</vt:lpstr>
      <vt:lpstr>'ORJ - 10 - Přerov'!Názvy_tisku</vt:lpstr>
      <vt:lpstr>'ORJ - 10 - Šumperk'!Názvy_tisku</vt:lpstr>
      <vt:lpstr>'Celkem ORJ - 14'!Oblast_tisku</vt:lpstr>
      <vt:lpstr>'Celkem ORJ -12'!Oblast_tisku</vt:lpstr>
      <vt:lpstr>'ORJ - 10 - Jeseník'!Oblast_tisku</vt:lpstr>
      <vt:lpstr>'ORJ - 10 - Prostějov'!Oblast_tisku</vt:lpstr>
      <vt:lpstr>'ORJ - 10 - Šumperk'!Oblast_tisku</vt:lpstr>
    </vt:vector>
  </TitlesOfParts>
  <Company>GORDIC spol. s r. 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pvyplasil</dc:creator>
  <cp:lastModifiedBy>Balabuch Petr</cp:lastModifiedBy>
  <cp:lastPrinted>2014-11-27T07:22:12Z</cp:lastPrinted>
  <dcterms:created xsi:type="dcterms:W3CDTF">2011-05-20T06:41:55Z</dcterms:created>
  <dcterms:modified xsi:type="dcterms:W3CDTF">2014-11-27T07:25:01Z</dcterms:modified>
</cp:coreProperties>
</file>