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05" yWindow="1695" windowWidth="15570" windowHeight="10095"/>
  </bookViews>
  <sheets>
    <sheet name="Přehled" sheetId="8" r:id="rId1"/>
    <sheet name="5 - 10 Alokace" sheetId="5" r:id="rId2"/>
    <sheet name="11 Alokace" sheetId="1" r:id="rId3"/>
    <sheet name="nad rámec 11. alokace" sheetId="6" r:id="rId4"/>
    <sheet name="nové nezařazené" sheetId="7" r:id="rId5"/>
  </sheets>
  <definedNames>
    <definedName name="_xlnm.Print_Titles" localSheetId="2">'11 Alokace'!$2:$3</definedName>
    <definedName name="_xlnm.Print_Titles" localSheetId="1">'5 - 10 Alokace'!$2:$3</definedName>
    <definedName name="_xlnm.Print_Titles" localSheetId="3">'nad rámec 11. alokace'!$2:$3</definedName>
    <definedName name="_xlnm.Print_Titles" localSheetId="4">'nové nezařazené'!$2:$3</definedName>
    <definedName name="_xlnm.Print_Area" localSheetId="2">'11 Alokace'!$A$1:$BE$10</definedName>
    <definedName name="_xlnm.Print_Area" localSheetId="1">'5 - 10 Alokace'!$A$1:$S$7</definedName>
    <definedName name="_xlnm.Print_Area" localSheetId="3">'nad rámec 11. alokace'!$A$1:$P$26</definedName>
    <definedName name="_xlnm.Print_Area" localSheetId="4">'nové nezařazené'!$A$1:$Q$34</definedName>
  </definedNames>
  <calcPr calcId="145621"/>
</workbook>
</file>

<file path=xl/calcChain.xml><?xml version="1.0" encoding="utf-8"?>
<calcChain xmlns="http://schemas.openxmlformats.org/spreadsheetml/2006/main">
  <c r="G34" i="7" l="1"/>
  <c r="H34" i="7"/>
  <c r="I34" i="7"/>
  <c r="J34" i="7"/>
  <c r="K34" i="7"/>
  <c r="L34" i="7"/>
  <c r="M34" i="7"/>
  <c r="N34" i="7"/>
  <c r="O34" i="7"/>
  <c r="P34" i="7"/>
  <c r="Q34" i="7"/>
  <c r="G24" i="7"/>
  <c r="H24" i="7"/>
  <c r="I24" i="7"/>
  <c r="J24" i="7"/>
  <c r="K24" i="7"/>
  <c r="L24" i="7"/>
  <c r="M24" i="7"/>
  <c r="N24" i="7"/>
  <c r="O24" i="7"/>
  <c r="P24" i="7"/>
  <c r="Q24" i="7"/>
  <c r="M7" i="5"/>
  <c r="N7" i="5"/>
  <c r="O7" i="5"/>
  <c r="P7" i="5"/>
  <c r="Q7" i="5"/>
  <c r="R7" i="5"/>
  <c r="S7" i="5"/>
  <c r="L7" i="5"/>
  <c r="C4" i="8" l="1"/>
  <c r="Q32" i="7"/>
  <c r="O32" i="7"/>
  <c r="L32" i="7"/>
  <c r="P32" i="7" l="1"/>
  <c r="O6" i="1" l="1"/>
  <c r="P7" i="1" l="1"/>
  <c r="M5" i="6" l="1"/>
  <c r="J9" i="6"/>
  <c r="M12" i="6"/>
  <c r="M19" i="6" l="1"/>
  <c r="M16" i="6"/>
  <c r="M7" i="6"/>
  <c r="M13" i="6"/>
  <c r="M15" i="6"/>
  <c r="M14" i="6"/>
  <c r="M11" i="6"/>
  <c r="M8" i="6" l="1"/>
  <c r="M9" i="6"/>
  <c r="M4" i="6"/>
  <c r="K32" i="7" l="1"/>
  <c r="K22" i="6"/>
  <c r="BA10" i="1" l="1"/>
  <c r="Q6" i="5" l="1"/>
  <c r="F4" i="8" l="1"/>
  <c r="I19" i="6"/>
  <c r="J17" i="6" l="1"/>
  <c r="J4" i="6"/>
  <c r="O9" i="1"/>
  <c r="BC10" i="1" l="1"/>
  <c r="F5" i="8" s="1"/>
  <c r="M31" i="7" l="1"/>
  <c r="M30" i="7"/>
  <c r="M29" i="7"/>
  <c r="M28" i="7"/>
  <c r="M27" i="7"/>
  <c r="I12" i="6" l="1"/>
  <c r="J16" i="6" l="1"/>
  <c r="J18" i="6"/>
  <c r="M6" i="6"/>
  <c r="I6" i="6" l="1"/>
  <c r="I15" i="6"/>
  <c r="BD10" i="1" l="1"/>
  <c r="G5" i="8" s="1"/>
  <c r="J10" i="1"/>
  <c r="C5" i="8" s="1"/>
  <c r="BB10" i="1" l="1"/>
  <c r="E5" i="8" s="1"/>
  <c r="H6" i="5"/>
  <c r="AL4" i="5" l="1"/>
  <c r="AS4" i="5"/>
  <c r="BB4" i="5" s="1"/>
  <c r="AU4" i="5"/>
  <c r="AV4" i="5"/>
  <c r="AW4" i="5"/>
  <c r="BE4" i="5" s="1"/>
  <c r="AX4" i="5"/>
  <c r="BF4" i="5" s="1"/>
  <c r="AL5" i="5"/>
  <c r="AS5" i="5"/>
  <c r="BB5" i="5" s="1"/>
  <c r="AU5" i="5"/>
  <c r="AV5" i="5"/>
  <c r="AW5" i="5"/>
  <c r="BE5" i="5" s="1"/>
  <c r="AM6" i="5"/>
  <c r="AN6" i="5"/>
  <c r="AS6" i="5"/>
  <c r="BB6" i="5" s="1"/>
  <c r="AV6" i="5"/>
  <c r="AW6" i="5"/>
  <c r="BE6" i="5" s="1"/>
  <c r="AX6" i="5"/>
  <c r="BF6" i="5" s="1"/>
  <c r="AP7" i="5"/>
  <c r="AZ7" i="5"/>
  <c r="BD7" i="5"/>
  <c r="BC4" i="5" l="1"/>
  <c r="AT4" i="5"/>
  <c r="AL6" i="5"/>
  <c r="AT5" i="5"/>
  <c r="BA4" i="5"/>
  <c r="BB7" i="5"/>
  <c r="AM7" i="5"/>
  <c r="AQ7" i="5"/>
  <c r="AU6" i="5"/>
  <c r="AT6" i="5" s="1"/>
  <c r="AR4" i="5"/>
  <c r="AS7" i="5"/>
  <c r="AW7" i="5"/>
  <c r="AO7" i="5"/>
  <c r="AV7" i="5"/>
  <c r="AN7" i="5"/>
  <c r="BC5" i="5"/>
  <c r="BA5" i="5" s="1"/>
  <c r="BB8" i="5" l="1"/>
  <c r="AL7" i="5"/>
  <c r="AR6" i="5"/>
  <c r="BC6" i="5"/>
  <c r="BA6" i="5" s="1"/>
  <c r="BE10" i="1" l="1"/>
  <c r="H5" i="8" s="1"/>
  <c r="M17" i="6" l="1"/>
  <c r="M18" i="6" l="1"/>
  <c r="N23" i="7" l="1"/>
  <c r="M23" i="7" s="1"/>
  <c r="N20" i="7"/>
  <c r="M20" i="7" s="1"/>
  <c r="N18" i="7"/>
  <c r="M18" i="7" s="1"/>
  <c r="N19" i="7"/>
  <c r="M19" i="7" s="1"/>
  <c r="N17" i="7"/>
  <c r="M17" i="7" s="1"/>
  <c r="N16" i="7"/>
  <c r="M16" i="7" s="1"/>
  <c r="N15" i="7"/>
  <c r="M15" i="7" s="1"/>
  <c r="N14" i="7"/>
  <c r="M14" i="7" s="1"/>
  <c r="N13" i="7"/>
  <c r="M13" i="7" s="1"/>
  <c r="N12" i="7"/>
  <c r="M12" i="7" s="1"/>
  <c r="N11" i="7"/>
  <c r="M11" i="7" s="1"/>
  <c r="N10" i="7"/>
  <c r="J4" i="7" l="1"/>
  <c r="F22" i="6"/>
  <c r="B6" i="8" s="1"/>
  <c r="M22" i="6" l="1"/>
  <c r="I32" i="6" l="1"/>
  <c r="I24" i="6" s="1"/>
  <c r="N21" i="7"/>
  <c r="N4" i="7"/>
  <c r="N6" i="7" l="1"/>
  <c r="M6" i="7" s="1"/>
  <c r="M10" i="7"/>
  <c r="N32" i="7" l="1"/>
  <c r="M32" i="7" l="1"/>
  <c r="L6" i="1" l="1"/>
  <c r="L7" i="1"/>
  <c r="L8" i="1"/>
  <c r="G22" i="6" l="1"/>
  <c r="C6" i="8" s="1"/>
  <c r="J13" i="6"/>
  <c r="J22" i="6" s="1"/>
  <c r="I10" i="6"/>
  <c r="I14" i="6"/>
  <c r="I20" i="6" l="1"/>
  <c r="I21" i="6"/>
  <c r="I5" i="6"/>
  <c r="N22" i="6" l="1"/>
  <c r="F6" i="8" s="1"/>
  <c r="I22" i="6"/>
  <c r="J32" i="7"/>
  <c r="F32" i="7"/>
  <c r="I31" i="7"/>
  <c r="I30" i="7"/>
  <c r="I29" i="7"/>
  <c r="I28" i="7"/>
  <c r="I27" i="7"/>
  <c r="I23" i="7"/>
  <c r="I22" i="7"/>
  <c r="F24" i="7"/>
  <c r="I9" i="7"/>
  <c r="I8" i="7"/>
  <c r="I7" i="7"/>
  <c r="I5" i="7"/>
  <c r="F34" i="7" l="1"/>
  <c r="B7" i="8" s="1"/>
  <c r="F7" i="8"/>
  <c r="H32" i="7"/>
  <c r="G32" i="7"/>
  <c r="I32" i="7"/>
  <c r="D7" i="8" l="1"/>
  <c r="F8" i="8"/>
  <c r="C7" i="8"/>
  <c r="BS7" i="5" l="1"/>
  <c r="BR7" i="5"/>
  <c r="BQ7" i="5"/>
  <c r="BO7" i="5"/>
  <c r="BK7" i="5"/>
  <c r="BG7" i="5"/>
  <c r="AE7" i="5"/>
  <c r="AC7" i="5"/>
  <c r="AA7" i="5"/>
  <c r="Y7" i="5"/>
  <c r="U7" i="5"/>
  <c r="T7" i="5"/>
  <c r="D4" i="8"/>
  <c r="K7" i="5"/>
  <c r="BN6" i="5"/>
  <c r="BM6" i="5" s="1"/>
  <c r="BL6" i="5"/>
  <c r="AB6" i="5"/>
  <c r="V6" i="5"/>
  <c r="AY6" i="5"/>
  <c r="BI7" i="5"/>
  <c r="AI7" i="5"/>
  <c r="AH7" i="5"/>
  <c r="W7" i="5"/>
  <c r="AK7" i="5"/>
  <c r="BN5" i="5"/>
  <c r="BM5" i="5" s="1"/>
  <c r="AG5" i="5"/>
  <c r="AF5" i="5"/>
  <c r="AB5" i="5" s="1"/>
  <c r="Z5" i="5"/>
  <c r="AX5" i="5" s="1"/>
  <c r="H5" i="5"/>
  <c r="BJ7" i="5"/>
  <c r="BE7" i="5"/>
  <c r="I7" i="5"/>
  <c r="BL4" i="5"/>
  <c r="AG4" i="5"/>
  <c r="AB4" i="5"/>
  <c r="V4" i="5"/>
  <c r="AY4" i="5"/>
  <c r="H4" i="5"/>
  <c r="BP7" i="5" l="1"/>
  <c r="BN7" i="5"/>
  <c r="AD7" i="5"/>
  <c r="X7" i="5"/>
  <c r="J7" i="5"/>
  <c r="N8" i="5" s="1"/>
  <c r="Z7" i="5"/>
  <c r="BF5" i="5"/>
  <c r="AR5" i="5"/>
  <c r="AY5" i="5" s="1"/>
  <c r="AU7" i="5"/>
  <c r="BM7" i="5"/>
  <c r="V5" i="5"/>
  <c r="BH6" i="5"/>
  <c r="BH7" i="5" s="1"/>
  <c r="AF7" i="5"/>
  <c r="AJ7" i="5"/>
  <c r="B4" i="8"/>
  <c r="BL7" i="5" l="1"/>
  <c r="BL10" i="5" s="1"/>
  <c r="AB7" i="5"/>
  <c r="AG7" i="5"/>
  <c r="AY7" i="5"/>
  <c r="V7" i="5"/>
  <c r="BA7" i="5"/>
  <c r="BC7" i="5"/>
  <c r="AR7" i="5"/>
  <c r="BF7" i="5"/>
  <c r="AX7" i="5"/>
  <c r="H7" i="5"/>
  <c r="AT7" i="5"/>
  <c r="U7" i="1" l="1"/>
  <c r="X7" i="1" l="1"/>
  <c r="N7" i="1"/>
  <c r="U8" i="1" l="1"/>
  <c r="U5" i="1" l="1"/>
  <c r="U4" i="1" l="1"/>
  <c r="N10" i="1" l="1"/>
  <c r="V10" i="1" l="1"/>
  <c r="AR7" i="1" l="1"/>
  <c r="W5" i="1" l="1"/>
  <c r="Q5" i="1" l="1"/>
  <c r="H10" i="1" l="1"/>
  <c r="R5" i="1"/>
  <c r="AR5" i="1" s="1"/>
  <c r="R6" i="1"/>
  <c r="AR6" i="1" s="1"/>
  <c r="R9" i="1"/>
  <c r="AR9" i="1" s="1"/>
  <c r="R4" i="1"/>
  <c r="AR4" i="1" s="1"/>
  <c r="AW5" i="1" l="1"/>
  <c r="AW6" i="1"/>
  <c r="AW7" i="1"/>
  <c r="AW9" i="1"/>
  <c r="AV5" i="1"/>
  <c r="AV6" i="1"/>
  <c r="AV7" i="1"/>
  <c r="AV9" i="1"/>
  <c r="AU5" i="1"/>
  <c r="AU6" i="1"/>
  <c r="AU9" i="1"/>
  <c r="AV4" i="1"/>
  <c r="AT4" i="1"/>
  <c r="AT6" i="1"/>
  <c r="AT7" i="1"/>
  <c r="AT9" i="1"/>
  <c r="AC10" i="1"/>
  <c r="AD10" i="1"/>
  <c r="AE10" i="1"/>
  <c r="AG4" i="1"/>
  <c r="AG5" i="1"/>
  <c r="AG6" i="1"/>
  <c r="AG7" i="1"/>
  <c r="AG8" i="1"/>
  <c r="AG9" i="1"/>
  <c r="AX6" i="1" l="1"/>
  <c r="AX9" i="1"/>
  <c r="AX5" i="1"/>
  <c r="AG10" i="1"/>
  <c r="AF10" i="1"/>
  <c r="AT5" i="1" l="1"/>
  <c r="M10" i="1" l="1"/>
  <c r="AP10" i="1" l="1"/>
  <c r="AQ10" i="1"/>
  <c r="G10" i="1" l="1"/>
  <c r="B5" i="8" s="1"/>
  <c r="B8" i="8" l="1"/>
  <c r="AS6" i="1"/>
  <c r="AS9" i="1"/>
  <c r="AS5" i="1"/>
  <c r="AW8" i="1" l="1"/>
  <c r="AS7" i="1" l="1"/>
  <c r="AU7" i="1"/>
  <c r="AX7" i="1" s="1"/>
  <c r="AT8" i="1"/>
  <c r="AW4" i="1" l="1"/>
  <c r="AU4" i="1" l="1"/>
  <c r="AX4" i="1" s="1"/>
  <c r="L4" i="1"/>
  <c r="AS4" i="1"/>
  <c r="AY4" i="1" s="1"/>
  <c r="L5" i="1"/>
  <c r="K10" i="1" l="1"/>
  <c r="D5" i="8" s="1"/>
  <c r="Q10" i="1"/>
  <c r="L10" i="1"/>
  <c r="W8" i="1" l="1"/>
  <c r="X8" i="1"/>
  <c r="AU8" i="1" l="1"/>
  <c r="AS8" i="1"/>
  <c r="AV8" i="1"/>
  <c r="R8" i="1"/>
  <c r="AR8" i="1" s="1"/>
  <c r="AT10" i="1"/>
  <c r="AX8" i="1" l="1"/>
  <c r="AM6" i="1"/>
  <c r="AM7" i="1"/>
  <c r="AM8" i="1"/>
  <c r="AM9" i="1"/>
  <c r="AM5" i="1"/>
  <c r="AM4" i="1"/>
  <c r="I10" i="1" l="1"/>
  <c r="O10" i="1"/>
  <c r="P10" i="1"/>
  <c r="S10" i="1"/>
  <c r="T10" i="1"/>
  <c r="U10" i="1"/>
  <c r="AI10" i="1"/>
  <c r="AJ10" i="1"/>
  <c r="AK10" i="1"/>
  <c r="AL10" i="1"/>
  <c r="F10" i="1"/>
  <c r="AA6" i="1" l="1"/>
  <c r="AY6" i="1" s="1"/>
  <c r="AA7" i="1"/>
  <c r="AY7" i="1" s="1"/>
  <c r="AA8" i="1"/>
  <c r="AY8" i="1" s="1"/>
  <c r="AA9" i="1"/>
  <c r="AY9" i="1" s="1"/>
  <c r="AA5" i="1"/>
  <c r="AY5" i="1" s="1"/>
  <c r="AA4" i="1"/>
  <c r="AB7" i="1" l="1"/>
  <c r="AB5" i="1"/>
  <c r="AB4" i="1"/>
  <c r="AB9" i="1"/>
  <c r="AB6" i="1"/>
  <c r="AB8" i="1"/>
  <c r="Y10" i="1"/>
  <c r="AS15" i="1" l="1"/>
  <c r="W10" i="1"/>
  <c r="AU10" i="1"/>
  <c r="X10" i="1"/>
  <c r="AV10" i="1"/>
  <c r="Z10" i="1"/>
  <c r="AN5" i="1"/>
  <c r="AW10" i="1" l="1"/>
  <c r="R10" i="1"/>
  <c r="AR10" i="1"/>
  <c r="AX10" i="1"/>
  <c r="AS10" i="1"/>
  <c r="AA10" i="1"/>
  <c r="AY10" i="1" l="1"/>
  <c r="AS12" i="1"/>
  <c r="AB10" i="1"/>
  <c r="AN6" i="1" l="1"/>
  <c r="AN7" i="1"/>
  <c r="AN8" i="1"/>
  <c r="AN9" i="1"/>
  <c r="AN4" i="1"/>
  <c r="AN10" i="1" l="1"/>
  <c r="AM10" i="1"/>
  <c r="AO9" i="1"/>
  <c r="AO5" i="1"/>
  <c r="AO4" i="1"/>
  <c r="AO10" i="1" l="1"/>
  <c r="P22" i="6" l="1"/>
  <c r="H6" i="8" s="1"/>
  <c r="H22" i="6"/>
  <c r="D6" i="8" s="1"/>
  <c r="H4" i="8"/>
  <c r="L22" i="6" l="1"/>
  <c r="E6" i="8" s="1"/>
  <c r="O22" i="6"/>
  <c r="G6" i="8" s="1"/>
  <c r="D8" i="8"/>
  <c r="C8" i="8" s="1"/>
  <c r="H7" i="8" l="1"/>
  <c r="H8" i="8" s="1"/>
  <c r="G4" i="8"/>
  <c r="E4" i="8"/>
  <c r="E7" i="8" l="1"/>
  <c r="E8" i="8" s="1"/>
  <c r="G7" i="8"/>
  <c r="G8" i="8" s="1"/>
</calcChain>
</file>

<file path=xl/comments1.xml><?xml version="1.0" encoding="utf-8"?>
<comments xmlns="http://schemas.openxmlformats.org/spreadsheetml/2006/main">
  <authors>
    <author>Foret Oldřich</author>
  </authors>
  <commentLis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Požadavek na přebytek 2013 ponížen o částky:
</t>
        </r>
        <r>
          <rPr>
            <b/>
            <sz val="9"/>
            <color indexed="81"/>
            <rFont val="Tahoma"/>
            <family val="2"/>
            <charset val="238"/>
          </rPr>
          <t>1 015 063,30</t>
        </r>
        <r>
          <rPr>
            <sz val="9"/>
            <color indexed="81"/>
            <rFont val="Tahoma"/>
            <family val="2"/>
            <charset val="238"/>
          </rPr>
          <t xml:space="preserve"> Kč z projektu REÚO - nemocnice Šternberk
</t>
        </r>
        <r>
          <rPr>
            <b/>
            <sz val="9"/>
            <color indexed="81"/>
            <rFont val="Tahoma"/>
            <family val="2"/>
            <charset val="238"/>
          </rPr>
          <t>1 332 835,70</t>
        </r>
        <r>
          <rPr>
            <sz val="9"/>
            <color indexed="81"/>
            <rFont val="Tahoma"/>
            <family val="2"/>
            <charset val="238"/>
          </rPr>
          <t xml:space="preserve"> Kč z projektu REÚO - SŠ Švehlova Prostějov
8 333,60 Kč z projektu REÚO polytechnická
</t>
        </r>
      </text>
    </comment>
    <comment ref="AR6" authorId="0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Z toho 2 043 060,- Kč je na předfinancování!</t>
        </r>
      </text>
    </comment>
    <comment ref="AR7" authorId="0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Z toho 7 177 602,70,- Kč je na předfinancování!</t>
        </r>
      </text>
    </comment>
    <comment ref="AR8" authorId="0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Z toho 4 200 734,90,- Kč je na předfinancování!</t>
        </r>
      </text>
    </comment>
    <comment ref="AR9" authorId="0">
      <text>
        <r>
          <rPr>
            <b/>
            <sz val="9"/>
            <color indexed="81"/>
            <rFont val="Tahoma"/>
            <family val="2"/>
            <charset val="238"/>
          </rPr>
          <t>Foret Oldřich:</t>
        </r>
        <r>
          <rPr>
            <sz val="9"/>
            <color indexed="81"/>
            <rFont val="Tahoma"/>
            <family val="2"/>
            <charset val="238"/>
          </rPr>
          <t xml:space="preserve">
Z toho 24 810 370,15,- Kč je na předfinancování!</t>
        </r>
      </text>
    </comment>
  </commentList>
</comments>
</file>

<file path=xl/comments2.xml><?xml version="1.0" encoding="utf-8"?>
<comments xmlns="http://schemas.openxmlformats.org/spreadsheetml/2006/main">
  <authors>
    <author>poles</author>
  </authors>
  <commentList>
    <comment ref="F27" authorId="0">
      <text>
        <r>
          <rPr>
            <b/>
            <sz val="8"/>
            <color indexed="81"/>
            <rFont val="Tahoma"/>
            <family val="2"/>
            <charset val="238"/>
          </rPr>
          <t>poles:</t>
        </r>
        <r>
          <rPr>
            <sz val="8"/>
            <color indexed="81"/>
            <rFont val="Tahoma"/>
            <family val="2"/>
            <charset val="238"/>
          </rPr>
          <t xml:space="preserve">
Přepočet kurz 27 Kč/Eur,
hrubý odhad vlastních nákladů včetně Polska
</t>
        </r>
      </text>
    </comment>
    <comment ref="F28" authorId="0">
      <text>
        <r>
          <rPr>
            <b/>
            <sz val="8"/>
            <color indexed="81"/>
            <rFont val="Tahoma"/>
            <family val="2"/>
            <charset val="238"/>
          </rPr>
          <t>poles:</t>
        </r>
        <r>
          <rPr>
            <sz val="8"/>
            <color indexed="81"/>
            <rFont val="Tahoma"/>
            <family val="2"/>
            <charset val="238"/>
          </rPr>
          <t xml:space="preserve">
Přepočet kurz 27 Kč/Eur,
hrubý odhad vlastních nákladů včetně Polska</t>
        </r>
      </text>
    </comment>
    <comment ref="F29" authorId="0">
      <text>
        <r>
          <rPr>
            <b/>
            <sz val="8"/>
            <color indexed="81"/>
            <rFont val="Tahoma"/>
            <family val="2"/>
            <charset val="238"/>
          </rPr>
          <t>poles:</t>
        </r>
        <r>
          <rPr>
            <sz val="8"/>
            <color indexed="81"/>
            <rFont val="Tahoma"/>
            <family val="2"/>
            <charset val="238"/>
          </rPr>
          <t xml:space="preserve">
Přepočet kurz 27 Kč/Eur,
hrubý odhad vlastních nákladů včetně Polska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238"/>
          </rPr>
          <t>poles:</t>
        </r>
        <r>
          <rPr>
            <sz val="8"/>
            <color indexed="81"/>
            <rFont val="Tahoma"/>
            <family val="2"/>
            <charset val="238"/>
          </rPr>
          <t xml:space="preserve">
Přepočet kurz 27 Kč/Eur,
hrubý odhad vlastních nákladů včetně Polska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38"/>
          </rPr>
          <t>poles:</t>
        </r>
        <r>
          <rPr>
            <sz val="8"/>
            <color indexed="81"/>
            <rFont val="Tahoma"/>
            <family val="2"/>
            <charset val="238"/>
          </rPr>
          <t xml:space="preserve">
Přepočet kurz 27 Kč/Eur,
hrubý odhad vlastních nákladů včetně Polska</t>
        </r>
      </text>
    </comment>
  </commentList>
</comments>
</file>

<file path=xl/sharedStrings.xml><?xml version="1.0" encoding="utf-8"?>
<sst xmlns="http://schemas.openxmlformats.org/spreadsheetml/2006/main" count="248" uniqueCount="155">
  <si>
    <t>ORG</t>
  </si>
  <si>
    <t>Název projektu</t>
  </si>
  <si>
    <t>Podíl OK</t>
  </si>
  <si>
    <t>rozpočet OK</t>
  </si>
  <si>
    <t>EIB</t>
  </si>
  <si>
    <t>Dofinancování 2013</t>
  </si>
  <si>
    <t>Dofinancování 2014 - 2015</t>
  </si>
  <si>
    <t>Refundace</t>
  </si>
  <si>
    <t>UZ 870</t>
  </si>
  <si>
    <t>UZ 871</t>
  </si>
  <si>
    <t>UZ 872</t>
  </si>
  <si>
    <t>UZ 874</t>
  </si>
  <si>
    <t>Realizace energeticky úsporných opatření - SŠ zemědělská Přerov</t>
  </si>
  <si>
    <t>Realizace energeticky úsporných opatření - Domov důchodců Šumperk</t>
  </si>
  <si>
    <t>Strojní vybavení dílen pro praktickou výuku (SOŠ a SOU Uničov)</t>
  </si>
  <si>
    <t>Centrum vzdělávání na SPŠ strojnické Olomouc</t>
  </si>
  <si>
    <t>Podpora technického vybavení dílen - 1. část</t>
  </si>
  <si>
    <t>Celkem</t>
  </si>
  <si>
    <t>RU v Kč 2014</t>
  </si>
  <si>
    <t>II/436 Přerov - okružní křižovatka Dluhonská ulice</t>
  </si>
  <si>
    <t>II/315 a III/31527 Zábřeh na Moravě - okružní křižovatka Postřelmovská ulice a ulice Čsl. Armády</t>
  </si>
  <si>
    <t>Domov seniorů POHODA Chválkovice - Modernizace hlavní budovy, část B a C</t>
  </si>
  <si>
    <t>Domov seniorů POHODA Chválkovice - Rekonstrukce budovy A</t>
  </si>
  <si>
    <t>Podpora technického vybavení dílen -3.část</t>
  </si>
  <si>
    <t>II/433 a III/36711 Výšovice - průtah</t>
  </si>
  <si>
    <t>II/449 Senice - průtah</t>
  </si>
  <si>
    <t>SŠ polytechnická Olomouc - nástavba dílen</t>
  </si>
  <si>
    <t>SŠTZ Mohelnice - přístavba dílen</t>
  </si>
  <si>
    <t>II/150 Dub nad Moravou - hranice okresů PV/OL - rekonstrukce silnice</t>
  </si>
  <si>
    <t>II/570 Hněvotín - rekonstrukce silnice</t>
  </si>
  <si>
    <t>III/36719 Pivín - rekonstrukce silnice</t>
  </si>
  <si>
    <t>III/44029 - Drahotuše - průtah</t>
  </si>
  <si>
    <t>III/37354 Holubice - Hrochov</t>
  </si>
  <si>
    <t>Celkem 11. alokace</t>
  </si>
  <si>
    <t>UZ 881</t>
  </si>
  <si>
    <t>Čerpání v Kč 2014</t>
  </si>
  <si>
    <t>Zůstatek (upravený rozpočet)</t>
  </si>
  <si>
    <t>Celkový zůstatek na akci (upravený rozpočet)</t>
  </si>
  <si>
    <t>čerpání v Kč do 31. 12. 2013</t>
  </si>
  <si>
    <t>Podíl OK dle projektových fiší</t>
  </si>
  <si>
    <t>UZ 880 / 884</t>
  </si>
  <si>
    <t>Celkové náklady dle projektových fiší v Kč</t>
  </si>
  <si>
    <t>Podíl OK rozpočet                (880 a 884) přebytek 2013</t>
  </si>
  <si>
    <t>Zůstatek na akci v Kč (Rozpočet + EIB)</t>
  </si>
  <si>
    <t>UZ 871 / 872</t>
  </si>
  <si>
    <t>Silnice II/444 Uničov – Šternberk, intravilány obcí</t>
  </si>
  <si>
    <t>III/3679 Čechůvky - Kralice na Hané</t>
  </si>
  <si>
    <t>III/43415 Radslavice – Grymov</t>
  </si>
  <si>
    <t>SSOK</t>
  </si>
  <si>
    <t>Most ev. č. 44932-2A, Držovice</t>
  </si>
  <si>
    <t>Most ev. č. 4348-7, Říkovice</t>
  </si>
  <si>
    <t>Most ev. č. 446-007B, Strukov</t>
  </si>
  <si>
    <t>Realizace energeticky úsporných opatření – SŠ sociální péče a služeb Zábřeh</t>
  </si>
  <si>
    <t>Realizace energeticky úsporných opatření – ZŠ a MŠ Hranice</t>
  </si>
  <si>
    <t>Realizace energeticky úsporných opatření – SOŠ obchodu a služeb Olomouc</t>
  </si>
  <si>
    <t>Realizace energeticky úsporných opatření – SŠ technická a obchodní Olomouc</t>
  </si>
  <si>
    <t>Realizace energeticky úsporných opatření – SOŠ a SOU Šumperk, Gen. Krátkého 30</t>
  </si>
  <si>
    <t>Realizace energeticky úsporných opatření – Slovanské gymnázium Olomouc - Pasteurova</t>
  </si>
  <si>
    <t>Realizace energeticky úsporných opatření – SŠ logistiky a chemie Olomouc</t>
  </si>
  <si>
    <t>Realizace energeticky úsporných opatření – SOŠ gastronomie a potravinářství - tělocvična</t>
  </si>
  <si>
    <t>Realizace energeticky úsporných opatření – SOŠ a SOU strojírenské a stavební Jeseník - dílny</t>
  </si>
  <si>
    <t>Realizace energeticky úsporných opatření – Sociální služby pro seniory Olomouc II</t>
  </si>
  <si>
    <t>Realizace energeticky úsporných opatření – Nemocnice Šternberk – budova gynekologie</t>
  </si>
  <si>
    <t>Čechy pod Kosířem-Rekonstrukce a využití objektů, 3.etapa</t>
  </si>
  <si>
    <t>Písečná - Velké Kunětice / Slawniowice – Nysa</t>
  </si>
  <si>
    <t>Vrbno pod Pradědem – Zlaté Hory/ Konradow – Moszczanka</t>
  </si>
  <si>
    <t>Žulová - Bernartice -– Dziewietlice / Wilamowa</t>
  </si>
  <si>
    <t>Hanušovice – Nová Seninka / Nowa Morawa – Boleslawów</t>
  </si>
  <si>
    <t>Bílá voda–Bílý Potok, Travná–Javorník / Paczków–Zabkowice Slaskie, Kamieniec Zabkowicki–Ladek Zdrój–Zelazno</t>
  </si>
  <si>
    <t>Projekty 11. alokace</t>
  </si>
  <si>
    <t xml:space="preserve"> </t>
  </si>
  <si>
    <t>Podíl EU dle projektových fiší</t>
  </si>
  <si>
    <t>Volné prostředky na akci v Kč (rozpočet)</t>
  </si>
  <si>
    <t>Aktuálně načerpáno na předfinancování</t>
  </si>
  <si>
    <t>UZ 14 / 880 / 881 / 883 / 884 / 886</t>
  </si>
  <si>
    <t>Alokace</t>
  </si>
  <si>
    <t>Plánované náklady v Kč (dle alokační tabulky)</t>
  </si>
  <si>
    <t>Aktuální náklady v Kč</t>
  </si>
  <si>
    <t xml:space="preserve">Financování do 31.12.2012 v Kč </t>
  </si>
  <si>
    <t>RU 2013 v Kč (k 31.12.2013)</t>
  </si>
  <si>
    <t>Financování k 31.12.2013 v Kč</t>
  </si>
  <si>
    <t>RU 2014 v Kč (k 24.7.2014)</t>
  </si>
  <si>
    <t>2012 - 2014 (financování 2012-2013 a upravený 2014)</t>
  </si>
  <si>
    <t>Dofinancování v Kč</t>
  </si>
  <si>
    <t>Dofinancování v Kč 2013 dle OIEP</t>
  </si>
  <si>
    <t>Dofinancování v Kč 2014 dle OIEP</t>
  </si>
  <si>
    <t>Čerpání EIB 2014 v Kč</t>
  </si>
  <si>
    <t>podíl EU</t>
  </si>
  <si>
    <t>podíl OK</t>
  </si>
  <si>
    <t>podíl OK (DPH)</t>
  </si>
  <si>
    <r>
      <t xml:space="preserve">úvěr KB              </t>
    </r>
    <r>
      <rPr>
        <b/>
        <sz val="8"/>
        <color theme="1"/>
        <rFont val="Calibri"/>
        <family val="2"/>
        <charset val="238"/>
        <scheme val="minor"/>
      </rPr>
      <t>(výkup pozemků)</t>
    </r>
  </si>
  <si>
    <t>Financování do 31.12.2013</t>
  </si>
  <si>
    <t>871/872</t>
  </si>
  <si>
    <t>ostatní</t>
  </si>
  <si>
    <t>přebytek</t>
  </si>
  <si>
    <t>EIB                              UZ 87X</t>
  </si>
  <si>
    <t>ostatní                    (není hrazeno            z EIB)</t>
  </si>
  <si>
    <t>ROP</t>
  </si>
  <si>
    <t xml:space="preserve">Krajský standardizovaný projekt ZZS Olomouckého kraje </t>
  </si>
  <si>
    <t>IOP</t>
  </si>
  <si>
    <t>Valšovský Žleb - Dlouhá Loučka - II/449</t>
  </si>
  <si>
    <t>Rekonstrukce pavilonu CSS Prostějov - zřízení residenčního zařízení pro chronicky nemocné Alzheimerovou chorobou</t>
  </si>
  <si>
    <t>Celkem alokace 5 - 10</t>
  </si>
  <si>
    <t>ukončené akce</t>
  </si>
  <si>
    <t>Požadavek na předfinancování v 2015</t>
  </si>
  <si>
    <t xml:space="preserve">Projekty ostatní plánovací období 2007-2013 (dokončení do konce roku 2015) </t>
  </si>
  <si>
    <t>Profinancováno</t>
  </si>
  <si>
    <t>Zajištění služby výměny dat ZZ kraje se systémy IZS</t>
  </si>
  <si>
    <t>Pořízení technologického vybavení a vozidel pro ZZS OK (23. výzva)</t>
  </si>
  <si>
    <t>Celkem projekty 2007-2013</t>
  </si>
  <si>
    <t>Projekty nové plánovací období EU 2014-2020</t>
  </si>
  <si>
    <t>Celkem projekty 2014-2020</t>
  </si>
  <si>
    <t xml:space="preserve">Celkem </t>
  </si>
  <si>
    <t>Projekty nad rámec 11. alokace (dokončení do konce roku 2015)</t>
  </si>
  <si>
    <t xml:space="preserve">Porfinancováno </t>
  </si>
  <si>
    <t>Podíl OK - 870,880</t>
  </si>
  <si>
    <t>Neuznatelné Náklady - 874,884</t>
  </si>
  <si>
    <t>Domov seniorů Pohoda Chválkovice- modernizace hlavní budovy, část A</t>
  </si>
  <si>
    <t>Je tam rezerva: 295 683,53 Kč</t>
  </si>
  <si>
    <r>
      <t xml:space="preserve"> /</t>
    </r>
    <r>
      <rPr>
        <i/>
        <vertAlign val="superscript"/>
        <sz val="11"/>
        <color theme="1"/>
        <rFont val="Calibri"/>
        <family val="2"/>
        <charset val="238"/>
        <scheme val="minor"/>
      </rPr>
      <t xml:space="preserve">1  </t>
    </r>
    <r>
      <rPr>
        <i/>
        <sz val="11"/>
        <color theme="1"/>
        <rFont val="Calibri"/>
        <family val="2"/>
        <charset val="238"/>
        <scheme val="minor"/>
      </rPr>
      <t>neuznatelné náklady (ze sl. 9) ve výši 9 491 075,00 Kč budou hrazeny z nájemného SMN</t>
    </r>
  </si>
  <si>
    <t>Předfinancování 2015</t>
  </si>
  <si>
    <r>
      <t xml:space="preserve"> /</t>
    </r>
    <r>
      <rPr>
        <i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i/>
        <sz val="11"/>
        <color theme="1"/>
        <rFont val="Calibri"/>
        <family val="2"/>
        <charset val="238"/>
        <scheme val="minor"/>
      </rPr>
      <t xml:space="preserve"> neuznatelné náklady(ze sl. 9) ve výši7 961 615 Kč byly hrazené z nájemného SMN </t>
    </r>
  </si>
  <si>
    <t>Upravený rozpočet k 30.9.</t>
  </si>
  <si>
    <t>Upravený rozpočet k 30.9.2014</t>
  </si>
  <si>
    <t>CSS Prostějov - Rekonstrukce budovy 6F</t>
  </si>
  <si>
    <t>11 alokace EIB</t>
  </si>
  <si>
    <t>nad rámec 11. alokace (rozpočet kraje)</t>
  </si>
  <si>
    <t>nové nezařazené (ostatní)</t>
  </si>
  <si>
    <t>Celkové náklady</t>
  </si>
  <si>
    <t>Rozpočet 2015 včetně předfinacování</t>
  </si>
  <si>
    <t>ORJ</t>
  </si>
  <si>
    <t>§</t>
  </si>
  <si>
    <t xml:space="preserve"> projekty 5. - 10. alokace z EIB</t>
  </si>
  <si>
    <t>Dotace</t>
  </si>
  <si>
    <t xml:space="preserve">5. - 10. alokace EIB </t>
  </si>
  <si>
    <t>Rozpočet OK 2015</t>
  </si>
  <si>
    <t>Profinancováno 2014</t>
  </si>
  <si>
    <t>podíl OK 2015</t>
  </si>
  <si>
    <t>Celkem OK 2015</t>
  </si>
  <si>
    <t>Podíl OK po aktualizaci OIEP                                           (EIB + přebytek)</t>
  </si>
  <si>
    <t>Volné prostředky na akci v Kč (EIB Podíl OK-RU-čerpání 2013)</t>
  </si>
  <si>
    <t>Volné prostředky na akci v Kč                                 (volné EIB - rozpočet)</t>
  </si>
  <si>
    <t xml:space="preserve">Uničov - Šternberk - II/444 </t>
  </si>
  <si>
    <t xml:space="preserve">Podíl OK </t>
  </si>
  <si>
    <t>Podíl OK 2015</t>
  </si>
  <si>
    <t xml:space="preserve">Celkové náklady </t>
  </si>
  <si>
    <t>OLU Paseka</t>
  </si>
  <si>
    <r>
      <t xml:space="preserve"> /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 xml:space="preserve"> součástí projektu i neinvestiční náklady hrazené krajem, projekt realizuje PO </t>
    </r>
  </si>
  <si>
    <t>Požadavky 2014</t>
  </si>
  <si>
    <t>Seskup. Pol.</t>
  </si>
  <si>
    <t>v tis. Kč</t>
  </si>
  <si>
    <t>v tis Kč</t>
  </si>
  <si>
    <t>Příloha č. 7: Financování investičních akcí 5. až 12. alokace</t>
  </si>
  <si>
    <t>Nemocnice Přerov - modernizace pavilonu radiodiagnostiky</t>
  </si>
  <si>
    <t>Komplexní program modernizace geriatrického oddělení OLÚ Moravský Beroun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</si>
</sst>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hair">
        <color indexed="64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auto="1"/>
      </top>
      <bottom style="thick">
        <color indexed="64"/>
      </bottom>
      <diagonal/>
    </border>
    <border>
      <left/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ck">
        <color indexed="64"/>
      </left>
      <right/>
      <top style="double">
        <color auto="1"/>
      </top>
      <bottom style="thick">
        <color indexed="64"/>
      </bottom>
      <diagonal/>
    </border>
    <border>
      <left style="thin">
        <color indexed="64"/>
      </left>
      <right/>
      <top style="double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ck">
        <color indexed="64"/>
      </bottom>
      <diagonal/>
    </border>
    <border>
      <left/>
      <right/>
      <top style="double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97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0" xfId="0" applyBorder="1"/>
    <xf numFmtId="0" fontId="8" fillId="0" borderId="0" xfId="0" applyFont="1"/>
    <xf numFmtId="0" fontId="5" fillId="0" borderId="0" xfId="0" applyFont="1"/>
    <xf numFmtId="0" fontId="9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0" fillId="6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/>
    </xf>
    <xf numFmtId="4" fontId="14" fillId="0" borderId="16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4" fontId="14" fillId="0" borderId="46" xfId="0" applyNumberFormat="1" applyFont="1" applyFill="1" applyBorder="1" applyAlignment="1">
      <alignment horizontal="center" vertical="center"/>
    </xf>
    <xf numFmtId="4" fontId="14" fillId="0" borderId="26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4" fontId="18" fillId="0" borderId="47" xfId="0" applyNumberFormat="1" applyFont="1" applyFill="1" applyBorder="1" applyAlignment="1">
      <alignment horizontal="center" vertical="center"/>
    </xf>
    <xf numFmtId="4" fontId="18" fillId="0" borderId="50" xfId="0" applyNumberFormat="1" applyFont="1" applyFill="1" applyBorder="1" applyAlignment="1">
      <alignment horizontal="center" vertical="center"/>
    </xf>
    <xf numFmtId="4" fontId="18" fillId="0" borderId="51" xfId="0" applyNumberFormat="1" applyFont="1" applyFill="1" applyBorder="1" applyAlignment="1">
      <alignment horizontal="center" vertical="center"/>
    </xf>
    <xf numFmtId="4" fontId="18" fillId="0" borderId="52" xfId="0" applyNumberFormat="1" applyFont="1" applyFill="1" applyBorder="1" applyAlignment="1">
      <alignment horizontal="center" vertical="center"/>
    </xf>
    <xf numFmtId="4" fontId="18" fillId="0" borderId="53" xfId="0" applyNumberFormat="1" applyFont="1" applyFill="1" applyBorder="1" applyAlignment="1">
      <alignment horizontal="center" vertical="center"/>
    </xf>
    <xf numFmtId="4" fontId="18" fillId="0" borderId="54" xfId="0" applyNumberFormat="1" applyFont="1" applyFill="1" applyBorder="1" applyAlignment="1">
      <alignment horizontal="center" vertical="center"/>
    </xf>
    <xf numFmtId="4" fontId="18" fillId="0" borderId="48" xfId="0" applyNumberFormat="1" applyFont="1" applyFill="1" applyBorder="1" applyAlignment="1">
      <alignment horizontal="center" vertical="center"/>
    </xf>
    <xf numFmtId="4" fontId="13" fillId="3" borderId="0" xfId="0" applyNumberFormat="1" applyFont="1" applyFill="1"/>
    <xf numFmtId="0" fontId="19" fillId="0" borderId="0" xfId="0" applyFont="1"/>
    <xf numFmtId="4" fontId="1" fillId="0" borderId="0" xfId="0" applyNumberFormat="1" applyFont="1"/>
    <xf numFmtId="4" fontId="13" fillId="0" borderId="0" xfId="0" applyNumberFormat="1" applyFont="1"/>
    <xf numFmtId="0" fontId="0" fillId="3" borderId="0" xfId="0" applyFill="1"/>
    <xf numFmtId="0" fontId="0" fillId="0" borderId="0" xfId="0" applyAlignment="1">
      <alignment wrapText="1"/>
    </xf>
    <xf numFmtId="0" fontId="20" fillId="0" borderId="0" xfId="0" applyFont="1"/>
    <xf numFmtId="4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0" fillId="0" borderId="0" xfId="0" applyNumberFormat="1" applyFill="1"/>
    <xf numFmtId="0" fontId="1" fillId="0" borderId="0" xfId="0" applyFont="1"/>
    <xf numFmtId="4" fontId="0" fillId="0" borderId="0" xfId="0" applyNumberFormat="1" applyAlignment="1">
      <alignment wrapText="1"/>
    </xf>
    <xf numFmtId="4" fontId="0" fillId="3" borderId="0" xfId="0" applyNumberFormat="1" applyFill="1"/>
    <xf numFmtId="4" fontId="14" fillId="0" borderId="13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4" fontId="14" fillId="0" borderId="45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55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vertical="center" wrapText="1"/>
    </xf>
    <xf numFmtId="0" fontId="14" fillId="0" borderId="55" xfId="0" applyFont="1" applyFill="1" applyBorder="1" applyAlignment="1">
      <alignment vertical="center"/>
    </xf>
    <xf numFmtId="4" fontId="18" fillId="0" borderId="49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4" fontId="14" fillId="0" borderId="60" xfId="0" applyNumberFormat="1" applyFont="1" applyFill="1" applyBorder="1" applyAlignment="1">
      <alignment horizontal="center" vertical="center"/>
    </xf>
    <xf numFmtId="4" fontId="14" fillId="0" borderId="85" xfId="0" applyNumberFormat="1" applyFont="1" applyFill="1" applyBorder="1" applyAlignment="1">
      <alignment horizontal="center" vertical="center"/>
    </xf>
    <xf numFmtId="0" fontId="20" fillId="3" borderId="0" xfId="0" applyFont="1" applyFill="1"/>
    <xf numFmtId="4" fontId="0" fillId="0" borderId="0" xfId="0" applyNumberFormat="1" applyAlignment="1">
      <alignment horizontal="right"/>
    </xf>
    <xf numFmtId="4" fontId="14" fillId="0" borderId="20" xfId="0" applyNumberFormat="1" applyFont="1" applyFill="1" applyBorder="1" applyAlignment="1">
      <alignment horizontal="center" vertical="center"/>
    </xf>
    <xf numFmtId="4" fontId="14" fillId="0" borderId="1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26" fillId="0" borderId="0" xfId="0" applyFont="1"/>
    <xf numFmtId="0" fontId="12" fillId="0" borderId="0" xfId="0" applyFont="1" applyBorder="1"/>
    <xf numFmtId="4" fontId="12" fillId="0" borderId="0" xfId="0" applyNumberFormat="1" applyFont="1" applyBorder="1"/>
    <xf numFmtId="0" fontId="14" fillId="0" borderId="11" xfId="0" applyFont="1" applyFill="1" applyBorder="1" applyAlignment="1">
      <alignment vertical="center" wrapText="1"/>
    </xf>
    <xf numFmtId="0" fontId="14" fillId="0" borderId="60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9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4" fontId="18" fillId="0" borderId="0" xfId="0" applyNumberFormat="1" applyFont="1"/>
    <xf numFmtId="4" fontId="18" fillId="0" borderId="55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4" fontId="18" fillId="0" borderId="55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59" xfId="0" applyNumberFormat="1" applyFont="1" applyFill="1" applyBorder="1" applyAlignment="1">
      <alignment horizontal="center" vertical="center"/>
    </xf>
    <xf numFmtId="3" fontId="14" fillId="0" borderId="55" xfId="0" applyNumberFormat="1" applyFont="1" applyFill="1" applyBorder="1" applyAlignment="1">
      <alignment horizontal="center" vertical="center"/>
    </xf>
    <xf numFmtId="3" fontId="14" fillId="0" borderId="6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86" xfId="0" applyNumberFormat="1" applyFont="1" applyFill="1" applyBorder="1" applyAlignment="1">
      <alignment horizontal="center" vertical="center"/>
    </xf>
    <xf numFmtId="3" fontId="14" fillId="3" borderId="55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3" fontId="18" fillId="0" borderId="55" xfId="0" applyNumberFormat="1" applyFont="1" applyFill="1" applyBorder="1" applyAlignment="1">
      <alignment horizontal="center" vertical="center"/>
    </xf>
    <xf numFmtId="3" fontId="18" fillId="0" borderId="55" xfId="0" applyNumberFormat="1" applyFont="1" applyBorder="1" applyAlignment="1">
      <alignment horizontal="center" vertical="center"/>
    </xf>
    <xf numFmtId="3" fontId="18" fillId="3" borderId="55" xfId="0" applyNumberFormat="1" applyFont="1" applyFill="1" applyBorder="1" applyAlignment="1">
      <alignment horizontal="center" vertical="center"/>
    </xf>
    <xf numFmtId="3" fontId="18" fillId="0" borderId="55" xfId="0" applyNumberFormat="1" applyFont="1" applyFill="1" applyBorder="1" applyAlignment="1">
      <alignment vertical="center"/>
    </xf>
    <xf numFmtId="3" fontId="18" fillId="0" borderId="55" xfId="0" applyNumberFormat="1" applyFont="1" applyBorder="1" applyAlignment="1">
      <alignment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3" borderId="11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vertical="center"/>
    </xf>
    <xf numFmtId="3" fontId="18" fillId="0" borderId="11" xfId="0" applyNumberFormat="1" applyFont="1" applyBorder="1" applyAlignment="1">
      <alignment vertical="center"/>
    </xf>
    <xf numFmtId="3" fontId="18" fillId="0" borderId="55" xfId="0" applyNumberFormat="1" applyFont="1" applyBorder="1" applyAlignment="1">
      <alignment horizontal="right" vertical="center"/>
    </xf>
    <xf numFmtId="0" fontId="14" fillId="0" borderId="55" xfId="0" applyFont="1" applyFill="1" applyBorder="1" applyAlignment="1">
      <alignment horizontal="left" vertical="center" wrapText="1"/>
    </xf>
    <xf numFmtId="0" fontId="14" fillId="3" borderId="60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vertical="center" wrapText="1"/>
    </xf>
    <xf numFmtId="0" fontId="29" fillId="0" borderId="0" xfId="0" applyFont="1"/>
    <xf numFmtId="0" fontId="12" fillId="0" borderId="72" xfId="0" applyFont="1" applyBorder="1" applyAlignment="1">
      <alignment horizontal="left" vertical="center"/>
    </xf>
    <xf numFmtId="3" fontId="12" fillId="0" borderId="72" xfId="0" applyNumberFormat="1" applyFont="1" applyBorder="1" applyAlignment="1">
      <alignment horizontal="right" vertical="center"/>
    </xf>
    <xf numFmtId="3" fontId="12" fillId="0" borderId="56" xfId="0" applyNumberFormat="1" applyFont="1" applyBorder="1" applyAlignment="1">
      <alignment horizontal="right" vertical="center"/>
    </xf>
    <xf numFmtId="3" fontId="12" fillId="0" borderId="91" xfId="0" applyNumberFormat="1" applyFont="1" applyBorder="1" applyAlignment="1">
      <alignment horizontal="right" vertical="center"/>
    </xf>
    <xf numFmtId="3" fontId="12" fillId="0" borderId="91" xfId="0" applyNumberFormat="1" applyFont="1" applyFill="1" applyBorder="1" applyAlignment="1">
      <alignment horizontal="right" vertical="center"/>
    </xf>
    <xf numFmtId="3" fontId="12" fillId="0" borderId="72" xfId="0" applyNumberFormat="1" applyFont="1" applyFill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3" fontId="18" fillId="0" borderId="70" xfId="0" applyNumberFormat="1" applyFont="1" applyBorder="1" applyAlignment="1">
      <alignment horizontal="right" vertical="center"/>
    </xf>
    <xf numFmtId="3" fontId="14" fillId="0" borderId="55" xfId="0" applyNumberFormat="1" applyFont="1" applyFill="1" applyBorder="1" applyAlignment="1">
      <alignment horizontal="center" vertical="center" wrapText="1"/>
    </xf>
    <xf numFmtId="3" fontId="18" fillId="3" borderId="55" xfId="0" applyNumberFormat="1" applyFont="1" applyFill="1" applyBorder="1" applyAlignment="1">
      <alignment horizontal="center" vertical="center" wrapText="1"/>
    </xf>
    <xf numFmtId="3" fontId="14" fillId="3" borderId="55" xfId="1" applyNumberFormat="1" applyFont="1" applyFill="1" applyBorder="1" applyAlignment="1">
      <alignment horizontal="center" vertical="center" wrapText="1"/>
    </xf>
    <xf numFmtId="3" fontId="14" fillId="0" borderId="55" xfId="1" applyNumberFormat="1" applyFont="1" applyFill="1" applyBorder="1" applyAlignment="1">
      <alignment horizontal="center" vertical="center" wrapText="1"/>
    </xf>
    <xf numFmtId="3" fontId="18" fillId="0" borderId="55" xfId="1" applyNumberFormat="1" applyFont="1" applyFill="1" applyBorder="1" applyAlignment="1">
      <alignment horizontal="center" vertical="center" wrapText="1"/>
    </xf>
    <xf numFmtId="3" fontId="14" fillId="0" borderId="11" xfId="1" applyNumberFormat="1" applyFont="1" applyFill="1" applyBorder="1" applyAlignment="1">
      <alignment horizontal="center" vertical="center" wrapText="1"/>
    </xf>
    <xf numFmtId="3" fontId="18" fillId="0" borderId="11" xfId="1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0" fontId="18" fillId="0" borderId="70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left" vertical="center" wrapText="1"/>
    </xf>
    <xf numFmtId="3" fontId="30" fillId="0" borderId="70" xfId="0" applyNumberFormat="1" applyFont="1" applyBorder="1" applyAlignment="1">
      <alignment horizontal="center" vertical="center"/>
    </xf>
    <xf numFmtId="3" fontId="18" fillId="0" borderId="70" xfId="0" applyNumberFormat="1" applyFont="1" applyFill="1" applyBorder="1" applyAlignment="1">
      <alignment horizontal="center" vertical="center" wrapText="1"/>
    </xf>
    <xf numFmtId="3" fontId="27" fillId="3" borderId="70" xfId="0" applyNumberFormat="1" applyFont="1" applyFill="1" applyBorder="1" applyAlignment="1">
      <alignment horizontal="center" vertical="center" wrapText="1"/>
    </xf>
    <xf numFmtId="3" fontId="18" fillId="3" borderId="70" xfId="0" applyNumberFormat="1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left" vertical="center" wrapText="1"/>
    </xf>
    <xf numFmtId="3" fontId="18" fillId="0" borderId="55" xfId="0" applyNumberFormat="1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left" vertical="center" wrapText="1"/>
    </xf>
    <xf numFmtId="3" fontId="27" fillId="3" borderId="55" xfId="0" applyNumberFormat="1" applyFont="1" applyFill="1" applyBorder="1" applyAlignment="1">
      <alignment horizontal="center" vertical="center"/>
    </xf>
    <xf numFmtId="3" fontId="27" fillId="0" borderId="55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87" xfId="0" applyFont="1" applyFill="1" applyBorder="1" applyAlignment="1">
      <alignment horizontal="center" vertical="center"/>
    </xf>
    <xf numFmtId="3" fontId="18" fillId="0" borderId="88" xfId="0" applyNumberFormat="1" applyFont="1" applyFill="1" applyBorder="1" applyAlignment="1">
      <alignment horizontal="center" vertical="center" wrapText="1"/>
    </xf>
    <xf numFmtId="3" fontId="18" fillId="3" borderId="62" xfId="0" applyNumberFormat="1" applyFont="1" applyFill="1" applyBorder="1" applyAlignment="1">
      <alignment horizontal="center" vertical="center"/>
    </xf>
    <xf numFmtId="3" fontId="18" fillId="0" borderId="62" xfId="0" applyNumberFormat="1" applyFont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3" fontId="18" fillId="3" borderId="86" xfId="0" applyNumberFormat="1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3" fontId="14" fillId="0" borderId="62" xfId="11" applyNumberFormat="1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3" fontId="14" fillId="0" borderId="86" xfId="11" applyNumberFormat="1" applyFont="1" applyFill="1" applyBorder="1" applyAlignment="1">
      <alignment horizontal="center" vertical="center"/>
    </xf>
    <xf numFmtId="3" fontId="15" fillId="0" borderId="79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8" fillId="0" borderId="0" xfId="0" applyNumberFormat="1" applyFont="1"/>
    <xf numFmtId="3" fontId="14" fillId="5" borderId="55" xfId="0" applyNumberFormat="1" applyFont="1" applyFill="1" applyBorder="1" applyAlignment="1">
      <alignment horizontal="center" vertical="center"/>
    </xf>
    <xf numFmtId="3" fontId="12" fillId="0" borderId="88" xfId="0" applyNumberFormat="1" applyFont="1" applyBorder="1" applyAlignment="1">
      <alignment horizontal="right" vertical="center"/>
    </xf>
    <xf numFmtId="3" fontId="12" fillId="0" borderId="62" xfId="0" applyNumberFormat="1" applyFont="1" applyBorder="1" applyAlignment="1">
      <alignment horizontal="right" vertical="center"/>
    </xf>
    <xf numFmtId="3" fontId="12" fillId="0" borderId="86" xfId="0" applyNumberFormat="1" applyFont="1" applyBorder="1" applyAlignment="1">
      <alignment horizontal="right" vertical="center"/>
    </xf>
    <xf numFmtId="0" fontId="18" fillId="0" borderId="90" xfId="0" applyFont="1" applyBorder="1" applyAlignment="1">
      <alignment horizontal="left" vertical="center"/>
    </xf>
    <xf numFmtId="0" fontId="18" fillId="0" borderId="96" xfId="0" applyFont="1" applyBorder="1" applyAlignment="1">
      <alignment horizontal="left" vertical="center"/>
    </xf>
    <xf numFmtId="0" fontId="18" fillId="0" borderId="97" xfId="0" applyFont="1" applyBorder="1" applyAlignment="1">
      <alignment horizontal="lef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60" xfId="0" applyNumberFormat="1" applyFont="1" applyBorder="1" applyAlignment="1">
      <alignment horizontal="right" vertical="center"/>
    </xf>
    <xf numFmtId="3" fontId="18" fillId="0" borderId="85" xfId="0" applyNumberFormat="1" applyFont="1" applyBorder="1" applyAlignment="1">
      <alignment horizontal="right" vertical="center"/>
    </xf>
    <xf numFmtId="0" fontId="18" fillId="3" borderId="55" xfId="0" applyFont="1" applyFill="1" applyBorder="1" applyAlignment="1">
      <alignment horizontal="center" vertical="center"/>
    </xf>
    <xf numFmtId="0" fontId="2" fillId="0" borderId="56" xfId="0" applyFont="1" applyBorder="1" applyAlignment="1"/>
    <xf numFmtId="0" fontId="14" fillId="0" borderId="98" xfId="0" applyFont="1" applyFill="1" applyBorder="1" applyAlignment="1">
      <alignment horizontal="center" vertical="center"/>
    </xf>
    <xf numFmtId="0" fontId="14" fillId="0" borderId="96" xfId="0" applyFont="1" applyFill="1" applyBorder="1" applyAlignment="1">
      <alignment horizontal="center" vertical="center"/>
    </xf>
    <xf numFmtId="0" fontId="14" fillId="0" borderId="97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vertical="center"/>
    </xf>
    <xf numFmtId="0" fontId="18" fillId="3" borderId="85" xfId="0" applyFont="1" applyFill="1" applyBorder="1" applyAlignment="1">
      <alignment horizontal="center" vertical="center"/>
    </xf>
    <xf numFmtId="0" fontId="18" fillId="3" borderId="96" xfId="0" applyFont="1" applyFill="1" applyBorder="1" applyAlignment="1">
      <alignment horizontal="center" vertical="center"/>
    </xf>
    <xf numFmtId="0" fontId="18" fillId="0" borderId="96" xfId="0" applyFont="1" applyFill="1" applyBorder="1" applyAlignment="1">
      <alignment horizontal="center" vertical="center"/>
    </xf>
    <xf numFmtId="0" fontId="18" fillId="3" borderId="97" xfId="0" applyFont="1" applyFill="1" applyBorder="1" applyAlignment="1">
      <alignment horizontal="center" vertical="center"/>
    </xf>
    <xf numFmtId="0" fontId="0" fillId="0" borderId="99" xfId="0" applyBorder="1"/>
    <xf numFmtId="3" fontId="18" fillId="0" borderId="62" xfId="0" applyNumberFormat="1" applyFont="1" applyFill="1" applyBorder="1" applyAlignment="1">
      <alignment horizontal="center" vertical="center"/>
    </xf>
    <xf numFmtId="3" fontId="18" fillId="0" borderId="86" xfId="0" applyNumberFormat="1" applyFont="1" applyBorder="1" applyAlignment="1">
      <alignment horizontal="center" vertical="center"/>
    </xf>
    <xf numFmtId="4" fontId="12" fillId="0" borderId="104" xfId="0" applyNumberFormat="1" applyFont="1" applyBorder="1" applyAlignment="1">
      <alignment horizontal="center" vertical="center"/>
    </xf>
    <xf numFmtId="3" fontId="15" fillId="0" borderId="104" xfId="0" applyNumberFormat="1" applyFont="1" applyFill="1" applyBorder="1" applyAlignment="1">
      <alignment horizontal="center" vertical="center"/>
    </xf>
    <xf numFmtId="3" fontId="15" fillId="0" borderId="104" xfId="0" applyNumberFormat="1" applyFont="1" applyBorder="1" applyAlignment="1">
      <alignment horizontal="center" vertical="center"/>
    </xf>
    <xf numFmtId="3" fontId="15" fillId="3" borderId="104" xfId="0" applyNumberFormat="1" applyFont="1" applyFill="1" applyBorder="1" applyAlignment="1">
      <alignment horizontal="center" vertical="center"/>
    </xf>
    <xf numFmtId="3" fontId="14" fillId="0" borderId="104" xfId="0" applyNumberFormat="1" applyFont="1" applyBorder="1"/>
    <xf numFmtId="3" fontId="15" fillId="0" borderId="105" xfId="0" applyNumberFormat="1" applyFont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4" fontId="12" fillId="0" borderId="104" xfId="0" applyNumberFormat="1" applyFont="1" applyFill="1" applyBorder="1" applyAlignment="1">
      <alignment horizontal="center" vertical="center"/>
    </xf>
    <xf numFmtId="0" fontId="14" fillId="3" borderId="96" xfId="0" applyFont="1" applyFill="1" applyBorder="1" applyAlignment="1">
      <alignment horizontal="center" vertical="center"/>
    </xf>
    <xf numFmtId="3" fontId="14" fillId="3" borderId="62" xfId="0" applyNumberFormat="1" applyFont="1" applyFill="1" applyBorder="1" applyAlignment="1">
      <alignment horizontal="center" vertical="center"/>
    </xf>
    <xf numFmtId="3" fontId="12" fillId="0" borderId="104" xfId="0" applyNumberFormat="1" applyFont="1" applyFill="1" applyBorder="1" applyAlignment="1">
      <alignment horizontal="center" vertical="center"/>
    </xf>
    <xf numFmtId="3" fontId="12" fillId="0" borderId="105" xfId="0" applyNumberFormat="1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4" fillId="3" borderId="106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left" vertical="center" wrapText="1" shrinkToFit="1"/>
    </xf>
    <xf numFmtId="0" fontId="0" fillId="0" borderId="91" xfId="0" applyBorder="1"/>
    <xf numFmtId="3" fontId="15" fillId="3" borderId="83" xfId="0" applyNumberFormat="1" applyFont="1" applyFill="1" applyBorder="1" applyAlignment="1">
      <alignment horizontal="center" vertical="center"/>
    </xf>
    <xf numFmtId="0" fontId="14" fillId="3" borderId="98" xfId="0" applyFont="1" applyFill="1" applyBorder="1" applyAlignment="1">
      <alignment horizontal="center" vertical="center"/>
    </xf>
    <xf numFmtId="3" fontId="12" fillId="0" borderId="66" xfId="0" applyNumberFormat="1" applyFont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0" fillId="0" borderId="76" xfId="0" applyBorder="1"/>
    <xf numFmtId="0" fontId="15" fillId="0" borderId="69" xfId="0" applyFont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18" fillId="0" borderId="97" xfId="0" applyFont="1" applyFill="1" applyBorder="1" applyAlignment="1">
      <alignment horizontal="center" vertical="center"/>
    </xf>
    <xf numFmtId="0" fontId="15" fillId="0" borderId="98" xfId="0" applyFont="1" applyBorder="1" applyAlignment="1">
      <alignment vertical="center"/>
    </xf>
    <xf numFmtId="0" fontId="15" fillId="0" borderId="93" xfId="0" applyFont="1" applyBorder="1" applyAlignment="1">
      <alignment vertical="center"/>
    </xf>
    <xf numFmtId="0" fontId="14" fillId="0" borderId="19" xfId="0" applyFont="1" applyFill="1" applyBorder="1" applyAlignment="1">
      <alignment horizontal="left" vertical="center" wrapText="1"/>
    </xf>
    <xf numFmtId="3" fontId="14" fillId="0" borderId="89" xfId="0" applyNumberFormat="1" applyFont="1" applyFill="1" applyBorder="1" applyAlignment="1">
      <alignment horizontal="center" vertical="center"/>
    </xf>
    <xf numFmtId="3" fontId="14" fillId="3" borderId="84" xfId="0" applyNumberFormat="1" applyFont="1" applyFill="1" applyBorder="1" applyAlignment="1">
      <alignment horizontal="center" vertical="center"/>
    </xf>
    <xf numFmtId="3" fontId="14" fillId="3" borderId="1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8" fillId="3" borderId="87" xfId="0" applyFont="1" applyFill="1" applyBorder="1" applyAlignment="1">
      <alignment horizontal="center" vertical="center"/>
    </xf>
    <xf numFmtId="0" fontId="18" fillId="3" borderId="70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vertical="center" wrapText="1"/>
    </xf>
    <xf numFmtId="4" fontId="18" fillId="0" borderId="70" xfId="0" applyNumberFormat="1" applyFont="1" applyBorder="1" applyAlignment="1">
      <alignment horizontal="center" vertical="center"/>
    </xf>
    <xf numFmtId="3" fontId="18" fillId="0" borderId="70" xfId="0" applyNumberFormat="1" applyFont="1" applyFill="1" applyBorder="1" applyAlignment="1">
      <alignment horizontal="center" vertical="center"/>
    </xf>
    <xf numFmtId="3" fontId="18" fillId="0" borderId="70" xfId="0" applyNumberFormat="1" applyFont="1" applyBorder="1" applyAlignment="1">
      <alignment horizontal="center" vertical="center"/>
    </xf>
    <xf numFmtId="3" fontId="18" fillId="0" borderId="70" xfId="0" applyNumberFormat="1" applyFont="1" applyFill="1" applyBorder="1" applyAlignment="1">
      <alignment vertical="center"/>
    </xf>
    <xf numFmtId="3" fontId="18" fillId="0" borderId="70" xfId="0" applyNumberFormat="1" applyFont="1" applyBorder="1" applyAlignment="1">
      <alignment vertical="center"/>
    </xf>
    <xf numFmtId="3" fontId="18" fillId="0" borderId="88" xfId="0" applyNumberFormat="1" applyFont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left" vertical="center" wrapText="1"/>
    </xf>
    <xf numFmtId="3" fontId="14" fillId="0" borderId="70" xfId="0" applyNumberFormat="1" applyFont="1" applyFill="1" applyBorder="1" applyAlignment="1">
      <alignment horizontal="center" vertical="center" wrapText="1"/>
    </xf>
    <xf numFmtId="3" fontId="18" fillId="3" borderId="70" xfId="0" applyNumberFormat="1" applyFont="1" applyFill="1" applyBorder="1" applyAlignment="1">
      <alignment horizontal="center" vertical="center" wrapText="1"/>
    </xf>
    <xf numFmtId="3" fontId="14" fillId="0" borderId="88" xfId="0" applyNumberFormat="1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 wrapText="1"/>
    </xf>
    <xf numFmtId="0" fontId="18" fillId="7" borderId="2" xfId="0" applyFont="1" applyFill="1" applyBorder="1"/>
    <xf numFmtId="0" fontId="12" fillId="7" borderId="63" xfId="0" applyFont="1" applyFill="1" applyBorder="1" applyAlignment="1">
      <alignment horizontal="center" vertical="center"/>
    </xf>
    <xf numFmtId="0" fontId="12" fillId="7" borderId="111" xfId="0" applyFont="1" applyFill="1" applyBorder="1" applyAlignment="1">
      <alignment horizontal="center" vertical="center" wrapText="1"/>
    </xf>
    <xf numFmtId="0" fontId="12" fillId="7" borderId="111" xfId="0" applyFont="1" applyFill="1" applyBorder="1" applyAlignment="1">
      <alignment horizontal="center" vertical="center"/>
    </xf>
    <xf numFmtId="0" fontId="18" fillId="7" borderId="111" xfId="0" applyFont="1" applyFill="1" applyBorder="1"/>
    <xf numFmtId="0" fontId="12" fillId="7" borderId="21" xfId="0" applyFont="1" applyFill="1" applyBorder="1" applyAlignment="1">
      <alignment horizontal="center" vertical="center" wrapText="1"/>
    </xf>
    <xf numFmtId="0" fontId="12" fillId="7" borderId="93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80" xfId="0" applyFont="1" applyFill="1" applyBorder="1" applyAlignment="1">
      <alignment horizontal="center" vertical="center" wrapText="1"/>
    </xf>
    <xf numFmtId="0" fontId="0" fillId="7" borderId="67" xfId="0" applyFill="1" applyBorder="1"/>
    <xf numFmtId="0" fontId="25" fillId="7" borderId="66" xfId="0" applyFont="1" applyFill="1" applyBorder="1" applyAlignment="1">
      <alignment horizontal="center" vertical="center"/>
    </xf>
    <xf numFmtId="0" fontId="25" fillId="7" borderId="74" xfId="0" applyFont="1" applyFill="1" applyBorder="1" applyAlignment="1">
      <alignment horizontal="center" vertical="center" wrapText="1"/>
    </xf>
    <xf numFmtId="0" fontId="25" fillId="7" borderId="66" xfId="0" applyFont="1" applyFill="1" applyBorder="1" applyAlignment="1">
      <alignment horizontal="center" vertical="center" wrapText="1"/>
    </xf>
    <xf numFmtId="0" fontId="0" fillId="0" borderId="115" xfId="0" applyBorder="1"/>
    <xf numFmtId="0" fontId="2" fillId="0" borderId="0" xfId="0" applyFont="1" applyAlignment="1">
      <alignment horizontal="left"/>
    </xf>
    <xf numFmtId="0" fontId="12" fillId="7" borderId="82" xfId="0" applyFont="1" applyFill="1" applyBorder="1" applyAlignment="1">
      <alignment horizontal="center" vertical="center" wrapText="1"/>
    </xf>
    <xf numFmtId="0" fontId="12" fillId="7" borderId="9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7" borderId="82" xfId="0" applyFont="1" applyFill="1" applyBorder="1" applyAlignment="1">
      <alignment horizontal="center" vertical="center"/>
    </xf>
    <xf numFmtId="0" fontId="12" fillId="7" borderId="95" xfId="0" applyFont="1" applyFill="1" applyBorder="1" applyAlignment="1">
      <alignment horizontal="center" vertical="center"/>
    </xf>
    <xf numFmtId="0" fontId="1" fillId="7" borderId="82" xfId="0" applyFont="1" applyFill="1" applyBorder="1" applyAlignment="1">
      <alignment horizontal="center" vertical="center" wrapText="1"/>
    </xf>
    <xf numFmtId="0" fontId="1" fillId="7" borderId="9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2" fillId="7" borderId="22" xfId="0" applyFont="1" applyFill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 vertical="center" textRotation="90" wrapText="1"/>
    </xf>
    <xf numFmtId="0" fontId="12" fillId="7" borderId="58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/>
    </xf>
    <xf numFmtId="0" fontId="12" fillId="2" borderId="9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6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111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64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9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2" borderId="98" xfId="0" applyFont="1" applyFill="1" applyBorder="1" applyAlignment="1">
      <alignment horizontal="center" vertical="center"/>
    </xf>
    <xf numFmtId="0" fontId="12" fillId="2" borderId="103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7" borderId="75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" fillId="7" borderId="72" xfId="0" applyFont="1" applyFill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7" borderId="7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112" xfId="0" applyFont="1" applyFill="1" applyBorder="1" applyAlignment="1">
      <alignment horizontal="center" vertical="center" wrapText="1"/>
    </xf>
    <xf numFmtId="0" fontId="18" fillId="7" borderId="58" xfId="0" applyFont="1" applyFill="1" applyBorder="1" applyAlignment="1">
      <alignment horizontal="center" wrapText="1"/>
    </xf>
    <xf numFmtId="0" fontId="18" fillId="7" borderId="91" xfId="0" applyFont="1" applyFill="1" applyBorder="1" applyAlignment="1">
      <alignment horizontal="center" wrapText="1"/>
    </xf>
    <xf numFmtId="0" fontId="12" fillId="7" borderId="81" xfId="0" applyFont="1" applyFill="1" applyBorder="1" applyAlignment="1">
      <alignment horizontal="center" vertical="center" wrapText="1"/>
    </xf>
    <xf numFmtId="0" fontId="12" fillId="7" borderId="79" xfId="0" applyFont="1" applyFill="1" applyBorder="1" applyAlignment="1">
      <alignment horizontal="center" vertical="center" wrapText="1"/>
    </xf>
    <xf numFmtId="0" fontId="12" fillId="7" borderId="59" xfId="0" applyFont="1" applyFill="1" applyBorder="1" applyAlignment="1">
      <alignment horizontal="center" vertical="center" wrapText="1"/>
    </xf>
    <xf numFmtId="0" fontId="12" fillId="7" borderId="65" xfId="0" applyFont="1" applyFill="1" applyBorder="1" applyAlignment="1">
      <alignment horizontal="center" vertical="center" wrapText="1"/>
    </xf>
    <xf numFmtId="0" fontId="12" fillId="0" borderId="102" xfId="0" applyFont="1" applyFill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 wrapText="1"/>
    </xf>
    <xf numFmtId="0" fontId="1" fillId="7" borderId="94" xfId="0" applyFont="1" applyFill="1" applyBorder="1" applyAlignment="1">
      <alignment horizontal="center" vertical="center" wrapText="1"/>
    </xf>
    <xf numFmtId="0" fontId="1" fillId="7" borderId="91" xfId="0" applyFont="1" applyFill="1" applyBorder="1" applyAlignment="1">
      <alignment horizontal="center" vertical="center" wrapText="1"/>
    </xf>
    <xf numFmtId="0" fontId="1" fillId="7" borderId="68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56" xfId="0" applyFont="1" applyFill="1" applyBorder="1" applyAlignment="1">
      <alignment horizontal="center" vertical="center" wrapText="1"/>
    </xf>
    <xf numFmtId="0" fontId="1" fillId="7" borderId="58" xfId="0" applyFont="1" applyFill="1" applyBorder="1" applyAlignment="1">
      <alignment horizontal="center" vertical="center"/>
    </xf>
    <xf numFmtId="0" fontId="1" fillId="7" borderId="7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11" xfId="0" applyFont="1" applyFill="1" applyBorder="1" applyAlignment="1">
      <alignment horizontal="center" vertical="center"/>
    </xf>
    <xf numFmtId="0" fontId="1" fillId="7" borderId="77" xfId="0" applyFont="1" applyFill="1" applyBorder="1" applyAlignment="1">
      <alignment horizontal="center" vertical="center" wrapText="1"/>
    </xf>
    <xf numFmtId="0" fontId="1" fillId="7" borderId="113" xfId="0" applyFont="1" applyFill="1" applyBorder="1" applyAlignment="1">
      <alignment horizontal="center" vertical="center" wrapText="1"/>
    </xf>
    <xf numFmtId="0" fontId="1" fillId="7" borderId="75" xfId="0" applyFont="1" applyFill="1" applyBorder="1" applyAlignment="1">
      <alignment horizontal="center" vertical="center"/>
    </xf>
    <xf numFmtId="0" fontId="1" fillId="7" borderId="7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81" xfId="0" applyFont="1" applyFill="1" applyBorder="1" applyAlignment="1">
      <alignment horizontal="center" vertical="center" wrapText="1"/>
    </xf>
    <xf numFmtId="0" fontId="1" fillId="7" borderId="79" xfId="0" applyFont="1" applyFill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/>
    </xf>
    <xf numFmtId="0" fontId="15" fillId="0" borderId="99" xfId="0" applyFont="1" applyFill="1" applyBorder="1" applyAlignment="1">
      <alignment horizontal="center" vertical="center"/>
    </xf>
    <xf numFmtId="0" fontId="15" fillId="0" borderId="100" xfId="0" applyFont="1" applyFill="1" applyBorder="1" applyAlignment="1">
      <alignment horizontal="center" vertical="center"/>
    </xf>
    <xf numFmtId="0" fontId="15" fillId="0" borderId="101" xfId="0" applyFont="1" applyFill="1" applyBorder="1" applyAlignment="1">
      <alignment horizontal="center" vertical="center"/>
    </xf>
    <xf numFmtId="0" fontId="15" fillId="3" borderId="107" xfId="0" applyFont="1" applyFill="1" applyBorder="1" applyAlignment="1">
      <alignment horizontal="center" vertical="center"/>
    </xf>
    <xf numFmtId="0" fontId="15" fillId="3" borderId="108" xfId="0" applyFont="1" applyFill="1" applyBorder="1" applyAlignment="1">
      <alignment horizontal="center" vertical="center"/>
    </xf>
    <xf numFmtId="0" fontId="15" fillId="3" borderId="109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14" fillId="3" borderId="67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14" fillId="3" borderId="74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4" borderId="94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114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2">
    <cellStyle name="Normální" xfId="0" builtinId="0"/>
    <cellStyle name="Normální 10" xfId="2"/>
    <cellStyle name="normální 2" xfId="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normální_Investice - opravy 2007 - 14-11-06-HOL (3)1" xfId="11"/>
    <cellStyle name="normální_Investice 2005-školství - úprava (probráno se SEK)" xfId="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A17" sqref="A17"/>
    </sheetView>
  </sheetViews>
  <sheetFormatPr defaultRowHeight="15" x14ac:dyDescent="0.25"/>
  <cols>
    <col min="1" max="1" width="45.7109375" customWidth="1"/>
    <col min="2" max="2" width="17.42578125" customWidth="1"/>
    <col min="3" max="3" width="16.140625" customWidth="1"/>
    <col min="4" max="4" width="15.140625" customWidth="1"/>
    <col min="5" max="5" width="17.28515625" customWidth="1"/>
    <col min="6" max="6" width="17.7109375" customWidth="1"/>
    <col min="7" max="7" width="19.85546875" customWidth="1"/>
    <col min="8" max="8" width="17.42578125" customWidth="1"/>
  </cols>
  <sheetData>
    <row r="1" spans="1:14" ht="18.75" x14ac:dyDescent="0.3">
      <c r="A1" s="272" t="s">
        <v>152</v>
      </c>
      <c r="B1" s="272"/>
      <c r="C1" s="272"/>
      <c r="D1" s="272"/>
      <c r="E1" s="272"/>
      <c r="F1" s="272"/>
      <c r="G1" s="272"/>
      <c r="H1" s="272"/>
    </row>
    <row r="2" spans="1:14" ht="15.75" thickBot="1" x14ac:dyDescent="0.3">
      <c r="H2" s="227" t="s">
        <v>150</v>
      </c>
    </row>
    <row r="3" spans="1:14" ht="48" thickBot="1" x14ac:dyDescent="0.3">
      <c r="A3" s="267"/>
      <c r="B3" s="268" t="s">
        <v>128</v>
      </c>
      <c r="C3" s="268" t="s">
        <v>133</v>
      </c>
      <c r="D3" s="268" t="s">
        <v>2</v>
      </c>
      <c r="E3" s="269" t="s">
        <v>136</v>
      </c>
      <c r="F3" s="270" t="s">
        <v>120</v>
      </c>
      <c r="G3" s="270" t="s">
        <v>135</v>
      </c>
      <c r="H3" s="270" t="s">
        <v>129</v>
      </c>
    </row>
    <row r="4" spans="1:14" ht="24" customHeight="1" x14ac:dyDescent="0.25">
      <c r="A4" s="177" t="s">
        <v>134</v>
      </c>
      <c r="B4" s="180">
        <f>'5 - 10 Alokace'!L7</f>
        <v>131646</v>
      </c>
      <c r="C4" s="135">
        <f>'5 - 10 Alokace'!M7</f>
        <v>110457</v>
      </c>
      <c r="D4" s="135">
        <f>'5 - 10 Alokace'!N7</f>
        <v>21189</v>
      </c>
      <c r="E4" s="135">
        <f>'5 - 10 Alokace'!P7</f>
        <v>3687</v>
      </c>
      <c r="F4" s="135">
        <f>'5 - 10 Alokace'!Q7</f>
        <v>39491.9</v>
      </c>
      <c r="G4" s="135">
        <f>'5 - 10 Alokace'!R7</f>
        <v>17502</v>
      </c>
      <c r="H4" s="174">
        <f>'5 - 10 Alokace'!S7</f>
        <v>56994</v>
      </c>
      <c r="I4" s="78"/>
      <c r="J4" s="78"/>
      <c r="K4" s="78"/>
      <c r="L4" s="78"/>
      <c r="M4" s="78"/>
      <c r="N4" s="78"/>
    </row>
    <row r="5" spans="1:14" ht="23.25" customHeight="1" x14ac:dyDescent="0.25">
      <c r="A5" s="178" t="s">
        <v>125</v>
      </c>
      <c r="B5" s="181">
        <f>'11 Alokace'!G10</f>
        <v>174041</v>
      </c>
      <c r="C5" s="122">
        <f>'11 Alokace'!J10</f>
        <v>136026</v>
      </c>
      <c r="D5" s="122">
        <f>'11 Alokace'!K10</f>
        <v>38015</v>
      </c>
      <c r="E5" s="122">
        <f>'11 Alokace'!BB10</f>
        <v>25813</v>
      </c>
      <c r="F5" s="122">
        <f>'11 Alokace'!BC10</f>
        <v>45444</v>
      </c>
      <c r="G5" s="122">
        <f>'11 Alokace'!BD10</f>
        <v>12202</v>
      </c>
      <c r="H5" s="175">
        <f>'11 Alokace'!BE10</f>
        <v>57646</v>
      </c>
      <c r="I5" s="78"/>
      <c r="J5" s="78"/>
      <c r="K5" s="78"/>
      <c r="L5" s="78"/>
      <c r="M5" s="78"/>
      <c r="N5" s="78"/>
    </row>
    <row r="6" spans="1:14" ht="24" customHeight="1" x14ac:dyDescent="0.25">
      <c r="A6" s="178" t="s">
        <v>126</v>
      </c>
      <c r="B6" s="181">
        <f>'nad rámec 11. alokace'!F22</f>
        <v>636729</v>
      </c>
      <c r="C6" s="122">
        <f>'nad rámec 11. alokace'!G22</f>
        <v>475461</v>
      </c>
      <c r="D6" s="122">
        <f>'nad rámec 11. alokace'!H22</f>
        <v>161269</v>
      </c>
      <c r="E6" s="122">
        <f>'nad rámec 11. alokace'!L22</f>
        <v>22762</v>
      </c>
      <c r="F6" s="122">
        <f>'nad rámec 11. alokace'!N22</f>
        <v>110271</v>
      </c>
      <c r="G6" s="122">
        <f>'nad rámec 11. alokace'!O22</f>
        <v>138507</v>
      </c>
      <c r="H6" s="175">
        <f>'nad rámec 11. alokace'!P22</f>
        <v>248778</v>
      </c>
      <c r="I6" s="78"/>
      <c r="J6" s="78"/>
      <c r="K6" s="78"/>
      <c r="L6" s="78"/>
      <c r="M6" s="78"/>
      <c r="N6" s="78"/>
    </row>
    <row r="7" spans="1:14" ht="24" customHeight="1" thickBot="1" x14ac:dyDescent="0.3">
      <c r="A7" s="179" t="s">
        <v>127</v>
      </c>
      <c r="B7" s="182">
        <f>'nové nezařazené'!F34</f>
        <v>767536</v>
      </c>
      <c r="C7" s="134">
        <f>'nové nezařazené'!G34</f>
        <v>576706</v>
      </c>
      <c r="D7" s="134">
        <f>'nové nezařazené'!H34</f>
        <v>190829</v>
      </c>
      <c r="E7" s="134">
        <f>'nové nezařazené'!L34</f>
        <v>1296</v>
      </c>
      <c r="F7" s="134">
        <f>'nové nezařazené'!O34</f>
        <v>102435</v>
      </c>
      <c r="G7" s="134">
        <f>'nové nezařazené'!P34</f>
        <v>157461</v>
      </c>
      <c r="H7" s="176">
        <f>'nové nezařazené'!Q34</f>
        <v>259896</v>
      </c>
      <c r="I7" s="78"/>
      <c r="J7" s="78"/>
      <c r="K7" s="78"/>
      <c r="L7" s="78"/>
      <c r="M7" s="78"/>
      <c r="N7" s="78"/>
    </row>
    <row r="8" spans="1:14" ht="23.25" customHeight="1" thickTop="1" thickBot="1" x14ac:dyDescent="0.3">
      <c r="A8" s="128" t="s">
        <v>17</v>
      </c>
      <c r="B8" s="129">
        <f t="shared" ref="B8:G8" si="0">SUM(B4:B7)</f>
        <v>1709952</v>
      </c>
      <c r="C8" s="130">
        <f t="shared" ref="C8" si="1">B8-D8</f>
        <v>1298650</v>
      </c>
      <c r="D8" s="131">
        <f t="shared" si="0"/>
        <v>411302</v>
      </c>
      <c r="E8" s="131">
        <f t="shared" si="0"/>
        <v>53558</v>
      </c>
      <c r="F8" s="129">
        <f t="shared" ref="F8" si="2">SUM(F4:F7)</f>
        <v>297641.90000000002</v>
      </c>
      <c r="G8" s="132">
        <f t="shared" si="0"/>
        <v>325672</v>
      </c>
      <c r="H8" s="133">
        <f t="shared" ref="H8" si="3">SUM(H4:H7)</f>
        <v>623314</v>
      </c>
      <c r="I8" s="78"/>
      <c r="J8" s="78"/>
      <c r="K8" s="78"/>
      <c r="L8" s="78"/>
      <c r="M8" s="78"/>
      <c r="N8" s="78"/>
    </row>
    <row r="9" spans="1:14" ht="15.75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ht="15.75" x14ac:dyDescent="0.25">
      <c r="A10" s="79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ht="15.75" x14ac:dyDescent="0.25">
      <c r="A11" s="78"/>
      <c r="B11" s="78"/>
      <c r="C11" s="78"/>
      <c r="D11" s="78"/>
      <c r="E11" s="172"/>
      <c r="F11" s="172"/>
      <c r="G11" s="78"/>
      <c r="H11" s="78"/>
      <c r="I11" s="78"/>
      <c r="J11" s="78"/>
      <c r="K11" s="78"/>
      <c r="L11" s="78"/>
      <c r="M11" s="78"/>
      <c r="N11" s="78"/>
    </row>
    <row r="12" spans="1:14" ht="15.75" x14ac:dyDescent="0.25">
      <c r="A12" s="78"/>
      <c r="B12" s="78"/>
      <c r="C12" s="93"/>
      <c r="D12" s="78"/>
      <c r="E12" s="78"/>
      <c r="F12" s="172"/>
      <c r="G12" s="78"/>
      <c r="H12" s="78"/>
      <c r="I12" s="78"/>
      <c r="J12" s="78"/>
      <c r="K12" s="78"/>
      <c r="L12" s="78"/>
      <c r="M12" s="78"/>
      <c r="N12" s="78"/>
    </row>
    <row r="13" spans="1:14" ht="15.75" x14ac:dyDescent="0.25">
      <c r="A13" s="78"/>
      <c r="B13" s="78"/>
      <c r="C13" s="78"/>
      <c r="D13" s="78"/>
      <c r="E13" s="78"/>
      <c r="F13" s="172"/>
      <c r="G13" s="78"/>
      <c r="H13" s="78"/>
      <c r="I13" s="78"/>
      <c r="J13" s="78"/>
      <c r="K13" s="78"/>
      <c r="L13" s="78"/>
      <c r="M13" s="78"/>
      <c r="N13" s="78"/>
    </row>
    <row r="14" spans="1:14" ht="15.75" x14ac:dyDescent="0.25">
      <c r="A14" s="78"/>
      <c r="B14" s="78"/>
      <c r="C14" s="78"/>
      <c r="D14" s="78"/>
      <c r="E14" s="78"/>
      <c r="F14" s="172"/>
      <c r="G14" s="78"/>
      <c r="H14" s="78"/>
      <c r="I14" s="78"/>
      <c r="J14" s="78"/>
      <c r="K14" s="78"/>
      <c r="L14" s="78"/>
      <c r="M14" s="78"/>
      <c r="N14" s="78"/>
    </row>
    <row r="15" spans="1:14" ht="15.75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4" ht="15.75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ht="15.75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15.75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ht="15.75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ht="15.75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5.75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4" ht="15.75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ht="15.75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ht="15.75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ht="15.75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4" ht="15.75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4" ht="15.75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1:14" ht="15.75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1:14" ht="15.75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scale="78" firstPageNumber="103" fitToHeight="0" orientation="landscape" useFirstPageNumber="1" r:id="rId1"/>
  <headerFooter>
    <oddFooter>&amp;L&amp;"-,Kurzíva"Zastupitelstvo Olomouckého kraje 12-12-2014
6.  - Rozpočet Olomouckého kraje 2015 - návrh rozpočtu
Příloha č. 7: Financování investičních akcí 5. až 12. alokace &amp;R&amp;"-,Kurzíva"Strana &amp;P (celkem 127)</oddFooter>
  </headerFooter>
  <ignoredErrors>
    <ignoredError sqref="C8 F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0"/>
  <sheetViews>
    <sheetView topLeftCell="B1" zoomScaleNormal="100" workbookViewId="0">
      <selection activeCell="E31" sqref="E31"/>
    </sheetView>
  </sheetViews>
  <sheetFormatPr defaultRowHeight="15" x14ac:dyDescent="0.25"/>
  <cols>
    <col min="1" max="1" width="17" hidden="1" customWidth="1"/>
    <col min="2" max="2" width="5.42578125" customWidth="1"/>
    <col min="3" max="3" width="11.5703125" hidden="1" customWidth="1"/>
    <col min="4" max="4" width="7.85546875" customWidth="1"/>
    <col min="5" max="5" width="45.7109375" customWidth="1"/>
    <col min="6" max="6" width="4.85546875" hidden="1" customWidth="1"/>
    <col min="7" max="7" width="6" hidden="1" customWidth="1"/>
    <col min="8" max="8" width="17.42578125" hidden="1" customWidth="1"/>
    <col min="9" max="9" width="15.7109375" hidden="1" customWidth="1"/>
    <col min="10" max="10" width="16.7109375" hidden="1" customWidth="1"/>
    <col min="11" max="11" width="15.7109375" hidden="1" customWidth="1"/>
    <col min="12" max="12" width="17.28515625" style="38" customWidth="1"/>
    <col min="13" max="13" width="14.42578125" customWidth="1"/>
    <col min="14" max="14" width="15.5703125" customWidth="1"/>
    <col min="15" max="15" width="17.42578125" hidden="1" customWidth="1"/>
    <col min="16" max="16" width="17" customWidth="1"/>
    <col min="17" max="17" width="17.42578125" customWidth="1"/>
    <col min="18" max="18" width="15.85546875" customWidth="1"/>
    <col min="19" max="19" width="16.28515625" customWidth="1"/>
    <col min="20" max="20" width="12.7109375" hidden="1" customWidth="1"/>
    <col min="21" max="21" width="0.140625" customWidth="1"/>
    <col min="22" max="24" width="15.5703125" hidden="1" customWidth="1"/>
    <col min="25" max="25" width="13.140625" hidden="1" customWidth="1"/>
    <col min="26" max="26" width="16.28515625" hidden="1" customWidth="1"/>
    <col min="27" max="27" width="13.140625" hidden="1" customWidth="1"/>
    <col min="28" max="30" width="15.5703125" hidden="1" customWidth="1"/>
    <col min="31" max="31" width="8.5703125" hidden="1" customWidth="1"/>
    <col min="32" max="32" width="20.85546875" hidden="1" customWidth="1"/>
    <col min="33" max="33" width="27.42578125" hidden="1" customWidth="1"/>
    <col min="34" max="35" width="15.5703125" hidden="1" customWidth="1"/>
    <col min="36" max="36" width="14.28515625" hidden="1" customWidth="1"/>
    <col min="37" max="37" width="15.5703125" hidden="1" customWidth="1"/>
    <col min="38" max="38" width="17.140625" hidden="1" customWidth="1"/>
    <col min="39" max="39" width="17" hidden="1" customWidth="1"/>
    <col min="40" max="40" width="16" hidden="1" customWidth="1"/>
    <col min="41" max="42" width="14.5703125" hidden="1" customWidth="1"/>
    <col min="43" max="43" width="15.5703125" hidden="1" customWidth="1"/>
    <col min="44" max="44" width="17.28515625" hidden="1" customWidth="1"/>
    <col min="45" max="47" width="15.5703125" hidden="1" customWidth="1"/>
    <col min="48" max="48" width="14.28515625" hidden="1" customWidth="1"/>
    <col min="49" max="49" width="11.42578125" hidden="1" customWidth="1"/>
    <col min="50" max="50" width="16.28515625" hidden="1" customWidth="1"/>
    <col min="51" max="51" width="17.42578125" hidden="1" customWidth="1"/>
    <col min="52" max="52" width="17.28515625" hidden="1" customWidth="1"/>
    <col min="53" max="53" width="15.85546875" hidden="1" customWidth="1"/>
    <col min="54" max="54" width="16.5703125" hidden="1" customWidth="1"/>
    <col min="55" max="55" width="16" hidden="1" customWidth="1"/>
    <col min="56" max="57" width="14.28515625" hidden="1" customWidth="1"/>
    <col min="58" max="58" width="15" hidden="1" customWidth="1"/>
    <col min="59" max="60" width="14.5703125" hidden="1" customWidth="1"/>
    <col min="61" max="61" width="15.140625" hidden="1" customWidth="1"/>
    <col min="62" max="62" width="14.5703125" hidden="1" customWidth="1"/>
    <col min="63" max="63" width="13.5703125" hidden="1" customWidth="1"/>
    <col min="64" max="64" width="14.5703125" hidden="1" customWidth="1"/>
    <col min="65" max="65" width="17" hidden="1" customWidth="1"/>
    <col min="66" max="66" width="15.140625" hidden="1" customWidth="1"/>
    <col min="67" max="67" width="14" hidden="1" customWidth="1"/>
    <col min="68" max="68" width="15.7109375" hidden="1" customWidth="1"/>
    <col min="69" max="70" width="14.7109375" hidden="1" customWidth="1"/>
    <col min="71" max="71" width="16.85546875" hidden="1" customWidth="1"/>
    <col min="73" max="73" width="12.7109375" bestFit="1" customWidth="1"/>
    <col min="74" max="74" width="16.140625" customWidth="1"/>
    <col min="75" max="75" width="12.7109375" bestFit="1" customWidth="1"/>
  </cols>
  <sheetData>
    <row r="1" spans="1:75" ht="36.75" customHeight="1" thickBot="1" x14ac:dyDescent="0.3">
      <c r="A1" s="282" t="s">
        <v>132</v>
      </c>
      <c r="B1" s="282"/>
      <c r="C1" s="282"/>
      <c r="D1" s="282"/>
      <c r="E1" s="282"/>
      <c r="J1" s="3"/>
      <c r="N1" s="3"/>
      <c r="O1" s="3"/>
      <c r="P1" s="3"/>
      <c r="Q1" s="3"/>
      <c r="R1" s="3"/>
      <c r="S1" s="227" t="s">
        <v>150</v>
      </c>
      <c r="BA1" s="3"/>
    </row>
    <row r="2" spans="1:75" ht="32.25" customHeight="1" thickTop="1" thickBot="1" x14ac:dyDescent="0.3">
      <c r="A2" s="287" t="s">
        <v>0</v>
      </c>
      <c r="B2" s="278" t="s">
        <v>130</v>
      </c>
      <c r="C2" s="278" t="s">
        <v>131</v>
      </c>
      <c r="D2" s="280" t="s">
        <v>149</v>
      </c>
      <c r="E2" s="278" t="s">
        <v>1</v>
      </c>
      <c r="F2" s="283" t="s">
        <v>75</v>
      </c>
      <c r="G2" s="260"/>
      <c r="H2" s="285" t="s">
        <v>76</v>
      </c>
      <c r="I2" s="286"/>
      <c r="J2" s="286"/>
      <c r="K2" s="286"/>
      <c r="L2" s="273" t="s">
        <v>128</v>
      </c>
      <c r="M2" s="273" t="s">
        <v>133</v>
      </c>
      <c r="N2" s="273" t="s">
        <v>88</v>
      </c>
      <c r="O2" s="261"/>
      <c r="P2" s="273" t="s">
        <v>136</v>
      </c>
      <c r="Q2" s="273" t="s">
        <v>120</v>
      </c>
      <c r="R2" s="273" t="s">
        <v>137</v>
      </c>
      <c r="S2" s="273" t="s">
        <v>138</v>
      </c>
      <c r="T2" s="65" t="s">
        <v>77</v>
      </c>
      <c r="U2" s="11" t="s">
        <v>2</v>
      </c>
      <c r="V2" s="294" t="s">
        <v>78</v>
      </c>
      <c r="W2" s="289"/>
      <c r="X2" s="289"/>
      <c r="Y2" s="289"/>
      <c r="Z2" s="289"/>
      <c r="AA2" s="295"/>
      <c r="AB2" s="296" t="s">
        <v>79</v>
      </c>
      <c r="AC2" s="297"/>
      <c r="AD2" s="297"/>
      <c r="AE2" s="297"/>
      <c r="AF2" s="298"/>
      <c r="AG2" s="299" t="s">
        <v>80</v>
      </c>
      <c r="AH2" s="300"/>
      <c r="AI2" s="297"/>
      <c r="AJ2" s="297"/>
      <c r="AK2" s="301"/>
      <c r="AL2" s="296" t="s">
        <v>81</v>
      </c>
      <c r="AM2" s="297"/>
      <c r="AN2" s="297"/>
      <c r="AO2" s="297"/>
      <c r="AP2" s="297"/>
      <c r="AQ2" s="298"/>
      <c r="AR2" s="302" t="s">
        <v>82</v>
      </c>
      <c r="AS2" s="303"/>
      <c r="AT2" s="303"/>
      <c r="AU2" s="303"/>
      <c r="AV2" s="303"/>
      <c r="AW2" s="303"/>
      <c r="AX2" s="304"/>
      <c r="AY2" s="289" t="s">
        <v>83</v>
      </c>
      <c r="AZ2" s="290"/>
      <c r="BA2" s="290"/>
      <c r="BB2" s="290"/>
      <c r="BC2" s="290"/>
      <c r="BD2" s="290"/>
      <c r="BE2" s="290"/>
      <c r="BF2" s="306"/>
      <c r="BG2" s="12" t="s">
        <v>84</v>
      </c>
      <c r="BH2" s="10" t="s">
        <v>85</v>
      </c>
      <c r="BI2" s="305" t="s">
        <v>7</v>
      </c>
      <c r="BJ2" s="305"/>
      <c r="BK2" s="305"/>
      <c r="BL2" s="305"/>
      <c r="BM2" s="289" t="s">
        <v>86</v>
      </c>
      <c r="BN2" s="290"/>
      <c r="BO2" s="290"/>
      <c r="BP2" s="290"/>
      <c r="BQ2" s="290"/>
      <c r="BR2" s="290"/>
      <c r="BS2" s="290"/>
      <c r="BT2" s="271"/>
    </row>
    <row r="3" spans="1:75" ht="27.75" customHeight="1" thickTop="1" thickBot="1" x14ac:dyDescent="0.3">
      <c r="A3" s="288"/>
      <c r="B3" s="279"/>
      <c r="C3" s="279"/>
      <c r="D3" s="281"/>
      <c r="E3" s="279"/>
      <c r="F3" s="284"/>
      <c r="G3" s="262"/>
      <c r="H3" s="263" t="s">
        <v>17</v>
      </c>
      <c r="I3" s="264" t="s">
        <v>87</v>
      </c>
      <c r="J3" s="264" t="s">
        <v>88</v>
      </c>
      <c r="K3" s="265" t="s">
        <v>89</v>
      </c>
      <c r="L3" s="274"/>
      <c r="M3" s="274"/>
      <c r="N3" s="274"/>
      <c r="O3" s="266" t="s">
        <v>122</v>
      </c>
      <c r="P3" s="274"/>
      <c r="Q3" s="274"/>
      <c r="R3" s="274"/>
      <c r="S3" s="274"/>
      <c r="T3" s="17"/>
      <c r="U3" s="14"/>
      <c r="V3" s="15" t="s">
        <v>17</v>
      </c>
      <c r="W3" s="16" t="s">
        <v>87</v>
      </c>
      <c r="X3" s="16" t="s">
        <v>88</v>
      </c>
      <c r="Y3" s="228">
        <v>874</v>
      </c>
      <c r="Z3" s="16" t="s">
        <v>89</v>
      </c>
      <c r="AA3" s="13" t="s">
        <v>90</v>
      </c>
      <c r="AB3" s="15" t="s">
        <v>17</v>
      </c>
      <c r="AC3" s="16" t="s">
        <v>87</v>
      </c>
      <c r="AD3" s="16" t="s">
        <v>88</v>
      </c>
      <c r="AE3" s="16" t="s">
        <v>88</v>
      </c>
      <c r="AF3" s="16" t="s">
        <v>89</v>
      </c>
      <c r="AG3" s="16" t="s">
        <v>91</v>
      </c>
      <c r="AH3" s="228" t="s">
        <v>92</v>
      </c>
      <c r="AI3" s="228">
        <v>870</v>
      </c>
      <c r="AJ3" s="228">
        <v>874</v>
      </c>
      <c r="AK3" s="229" t="s">
        <v>93</v>
      </c>
      <c r="AL3" s="15" t="s">
        <v>17</v>
      </c>
      <c r="AM3" s="16" t="s">
        <v>87</v>
      </c>
      <c r="AN3" s="16" t="s">
        <v>88</v>
      </c>
      <c r="AO3" s="16" t="s">
        <v>88</v>
      </c>
      <c r="AP3" s="16" t="s">
        <v>94</v>
      </c>
      <c r="AQ3" s="16" t="s">
        <v>89</v>
      </c>
      <c r="AR3" s="16" t="s">
        <v>17</v>
      </c>
      <c r="AS3" s="16" t="s">
        <v>87</v>
      </c>
      <c r="AT3" s="291" t="s">
        <v>88</v>
      </c>
      <c r="AU3" s="292"/>
      <c r="AV3" s="292"/>
      <c r="AW3" s="293"/>
      <c r="AX3" s="13" t="s">
        <v>89</v>
      </c>
      <c r="AY3" s="233" t="s">
        <v>17</v>
      </c>
      <c r="AZ3" s="17"/>
      <c r="BA3" s="234" t="s">
        <v>95</v>
      </c>
      <c r="BB3" s="234" t="s">
        <v>92</v>
      </c>
      <c r="BC3" s="235">
        <v>870</v>
      </c>
      <c r="BD3" s="235">
        <v>874</v>
      </c>
      <c r="BE3" s="16" t="s">
        <v>94</v>
      </c>
      <c r="BF3" s="229" t="s">
        <v>96</v>
      </c>
      <c r="BG3" s="15"/>
      <c r="BH3" s="16"/>
      <c r="BI3" s="231">
        <v>2013</v>
      </c>
      <c r="BJ3" s="231">
        <v>2014</v>
      </c>
      <c r="BK3" s="231">
        <v>2015</v>
      </c>
      <c r="BL3" s="232" t="s">
        <v>17</v>
      </c>
      <c r="BM3" s="233" t="s">
        <v>17</v>
      </c>
      <c r="BN3" s="234" t="s">
        <v>95</v>
      </c>
      <c r="BO3" s="234" t="s">
        <v>92</v>
      </c>
      <c r="BP3" s="235">
        <v>870</v>
      </c>
      <c r="BQ3" s="235">
        <v>874</v>
      </c>
      <c r="BR3" s="16" t="s">
        <v>94</v>
      </c>
      <c r="BS3" s="230" t="s">
        <v>96</v>
      </c>
    </row>
    <row r="4" spans="1:75" ht="45.75" customHeight="1" x14ac:dyDescent="0.25">
      <c r="A4" s="185">
        <v>60008100581</v>
      </c>
      <c r="B4" s="89">
        <v>59</v>
      </c>
      <c r="C4" s="90">
        <v>5273</v>
      </c>
      <c r="D4" s="90">
        <v>61</v>
      </c>
      <c r="E4" s="223" t="s">
        <v>98</v>
      </c>
      <c r="F4" s="91">
        <v>10</v>
      </c>
      <c r="G4" s="92" t="s">
        <v>99</v>
      </c>
      <c r="H4" s="74">
        <f t="shared" ref="H4:H5" si="0">I4+J4+K4</f>
        <v>31182000</v>
      </c>
      <c r="I4" s="75">
        <v>26504700</v>
      </c>
      <c r="J4" s="75">
        <v>4677300</v>
      </c>
      <c r="K4" s="75">
        <v>0</v>
      </c>
      <c r="L4" s="224">
        <v>31182</v>
      </c>
      <c r="M4" s="101">
        <v>26505</v>
      </c>
      <c r="N4" s="101">
        <v>4677</v>
      </c>
      <c r="O4" s="101">
        <v>927490</v>
      </c>
      <c r="P4" s="101">
        <v>156</v>
      </c>
      <c r="Q4" s="101">
        <v>25622</v>
      </c>
      <c r="R4" s="101">
        <v>4522</v>
      </c>
      <c r="S4" s="102">
        <v>30143</v>
      </c>
      <c r="T4" s="18"/>
      <c r="U4" s="50"/>
      <c r="V4" s="51">
        <f t="shared" ref="V4:V6" si="1">W4+X4+Z4</f>
        <v>0</v>
      </c>
      <c r="W4" s="53">
        <v>0</v>
      </c>
      <c r="X4" s="53">
        <v>0</v>
      </c>
      <c r="Y4" s="53">
        <v>0</v>
      </c>
      <c r="Z4" s="56">
        <v>0</v>
      </c>
      <c r="AA4" s="57">
        <v>0</v>
      </c>
      <c r="AB4" s="58">
        <f t="shared" ref="AB4:AB5" si="2">AC4+AD4+AF4</f>
        <v>0</v>
      </c>
      <c r="AC4" s="56">
        <v>0</v>
      </c>
      <c r="AD4" s="56">
        <v>0</v>
      </c>
      <c r="AE4" s="56"/>
      <c r="AF4" s="53">
        <v>0</v>
      </c>
      <c r="AG4" s="53">
        <f>AH4+AI4+AJ4+AK4</f>
        <v>0</v>
      </c>
      <c r="AH4" s="53">
        <v>0</v>
      </c>
      <c r="AI4" s="53">
        <v>0</v>
      </c>
      <c r="AJ4" s="53">
        <v>0</v>
      </c>
      <c r="AK4" s="52">
        <v>0</v>
      </c>
      <c r="AL4" s="51">
        <f t="shared" ref="AL4:AL5" si="3">AN4+AO4+AQ4+AM4+AP4</f>
        <v>927490</v>
      </c>
      <c r="AM4" s="53">
        <v>788251.5</v>
      </c>
      <c r="AN4" s="53">
        <v>139238.5</v>
      </c>
      <c r="AO4" s="53">
        <v>0</v>
      </c>
      <c r="AP4" s="53"/>
      <c r="AQ4" s="53">
        <v>0</v>
      </c>
      <c r="AR4" s="54">
        <f>AU4+AV4+AX4+AW4+AS4</f>
        <v>927490</v>
      </c>
      <c r="AS4" s="53">
        <f>W4+AH4+AM4</f>
        <v>788251.5</v>
      </c>
      <c r="AT4" s="53">
        <f>AU4+AV4</f>
        <v>139238.5</v>
      </c>
      <c r="AU4" s="53">
        <f t="shared" ref="AU4:AV6" si="4">X4+AI4+AN4</f>
        <v>139238.5</v>
      </c>
      <c r="AV4" s="53">
        <f t="shared" si="4"/>
        <v>0</v>
      </c>
      <c r="AW4" s="53">
        <f t="shared" ref="AW4:AW5" si="5">AP4</f>
        <v>0</v>
      </c>
      <c r="AX4" s="53">
        <f t="shared" ref="AX4:AX6" si="6">Z4+AK4+AQ4</f>
        <v>0</v>
      </c>
      <c r="AY4" s="55">
        <f>L4-AR4</f>
        <v>-896308</v>
      </c>
      <c r="AZ4" s="18"/>
      <c r="BA4" s="55">
        <f t="shared" ref="BA4" si="7">BB4+BC4+BD4</f>
        <v>-896308</v>
      </c>
      <c r="BB4" s="22">
        <f>M4-AS4</f>
        <v>-761746.5</v>
      </c>
      <c r="BC4" s="23">
        <f>N4-AU4-AV4</f>
        <v>-134561.5</v>
      </c>
      <c r="BD4" s="23">
        <v>0</v>
      </c>
      <c r="BE4" s="23" t="e">
        <f>#REF!-AW4</f>
        <v>#REF!</v>
      </c>
      <c r="BF4" s="52" t="e">
        <f>#REF!-AX4</f>
        <v>#REF!</v>
      </c>
      <c r="BG4" s="18">
        <v>0</v>
      </c>
      <c r="BH4" s="19">
        <v>29623000</v>
      </c>
      <c r="BI4" s="20"/>
      <c r="BJ4" s="20"/>
      <c r="BK4" s="20"/>
      <c r="BL4" s="21">
        <f>M4</f>
        <v>26505</v>
      </c>
      <c r="BM4" s="55"/>
      <c r="BN4" s="55">
        <v>0</v>
      </c>
      <c r="BO4" s="22">
        <v>0</v>
      </c>
      <c r="BP4" s="23">
        <v>0</v>
      </c>
      <c r="BQ4" s="23">
        <v>0</v>
      </c>
      <c r="BR4" s="23">
        <v>0</v>
      </c>
      <c r="BS4" s="23">
        <v>0</v>
      </c>
    </row>
    <row r="5" spans="1:75" ht="32.25" customHeight="1" x14ac:dyDescent="0.25">
      <c r="A5" s="186">
        <v>60004100534</v>
      </c>
      <c r="B5" s="83">
        <v>50</v>
      </c>
      <c r="C5" s="84">
        <v>2212</v>
      </c>
      <c r="D5" s="84">
        <v>61</v>
      </c>
      <c r="E5" s="67" t="s">
        <v>100</v>
      </c>
      <c r="F5" s="85">
        <v>10</v>
      </c>
      <c r="G5" s="86" t="s">
        <v>97</v>
      </c>
      <c r="H5" s="70">
        <f t="shared" si="0"/>
        <v>55661094</v>
      </c>
      <c r="I5" s="64">
        <v>38675277.200000003</v>
      </c>
      <c r="J5" s="64">
        <v>16985816.800000001</v>
      </c>
      <c r="K5" s="64">
        <v>0</v>
      </c>
      <c r="L5" s="225">
        <v>55625</v>
      </c>
      <c r="M5" s="103">
        <v>46933</v>
      </c>
      <c r="N5" s="103">
        <v>8692</v>
      </c>
      <c r="O5" s="103">
        <v>19599330</v>
      </c>
      <c r="P5" s="103">
        <v>2400</v>
      </c>
      <c r="Q5" s="103">
        <v>9386</v>
      </c>
      <c r="R5" s="103">
        <v>6292</v>
      </c>
      <c r="S5" s="104">
        <v>15679</v>
      </c>
      <c r="T5" s="22"/>
      <c r="U5" s="50"/>
      <c r="V5" s="51">
        <f>W5+X5+Z5</f>
        <v>1102602</v>
      </c>
      <c r="W5" s="53">
        <v>0</v>
      </c>
      <c r="X5" s="53">
        <v>30000</v>
      </c>
      <c r="Y5" s="53">
        <v>0</v>
      </c>
      <c r="Z5" s="53">
        <f>961302+1700+108000+1600</f>
        <v>1072602</v>
      </c>
      <c r="AA5" s="52">
        <v>0</v>
      </c>
      <c r="AB5" s="51">
        <f t="shared" si="2"/>
        <v>158</v>
      </c>
      <c r="AC5" s="53">
        <v>0</v>
      </c>
      <c r="AD5" s="53">
        <v>0</v>
      </c>
      <c r="AE5" s="53"/>
      <c r="AF5" s="53">
        <f>158</f>
        <v>158</v>
      </c>
      <c r="AG5" s="53">
        <f t="shared" ref="AG5" si="8">AH5+AI5+AJ5+AK5</f>
        <v>158</v>
      </c>
      <c r="AH5" s="53">
        <v>0</v>
      </c>
      <c r="AI5" s="53">
        <v>0</v>
      </c>
      <c r="AJ5" s="53">
        <v>0</v>
      </c>
      <c r="AK5" s="52">
        <v>158</v>
      </c>
      <c r="AL5" s="51">
        <f t="shared" si="3"/>
        <v>19599327.25</v>
      </c>
      <c r="AM5" s="53">
        <v>10422377.25</v>
      </c>
      <c r="AN5" s="53">
        <v>8276950</v>
      </c>
      <c r="AO5" s="53">
        <v>900000</v>
      </c>
      <c r="AP5" s="53"/>
      <c r="AQ5" s="53">
        <v>0</v>
      </c>
      <c r="AR5" s="54">
        <f t="shared" ref="AR5:AR6" si="9">AU5+AV5+AX5+AW5+AS5</f>
        <v>20702087.25</v>
      </c>
      <c r="AS5" s="53">
        <f>W5+AH5+AM5</f>
        <v>10422377.25</v>
      </c>
      <c r="AT5" s="53">
        <f t="shared" ref="AT5:AT6" si="10">AU5+AV5</f>
        <v>9206950</v>
      </c>
      <c r="AU5" s="53">
        <f t="shared" ref="AU5:AU6" si="11">X5+AI5+AN5</f>
        <v>8306950</v>
      </c>
      <c r="AV5" s="53">
        <f t="shared" si="4"/>
        <v>900000</v>
      </c>
      <c r="AW5" s="53">
        <f t="shared" si="5"/>
        <v>0</v>
      </c>
      <c r="AX5" s="53">
        <f t="shared" si="6"/>
        <v>1072760</v>
      </c>
      <c r="AY5" s="55">
        <f>L5-AR5</f>
        <v>-20646462.25</v>
      </c>
      <c r="AZ5" s="22"/>
      <c r="BA5" s="55">
        <f t="shared" ref="BA5:BA6" si="12">BB5+BC5</f>
        <v>-19573702.25</v>
      </c>
      <c r="BB5" s="51">
        <f>M5-AS5</f>
        <v>-10375444.25</v>
      </c>
      <c r="BC5" s="23">
        <f>N5-AU5-AV5</f>
        <v>-9198258</v>
      </c>
      <c r="BD5" s="23">
        <v>0</v>
      </c>
      <c r="BE5" s="23" t="e">
        <f>#REF!-AW5</f>
        <v>#REF!</v>
      </c>
      <c r="BF5" s="52" t="e">
        <f>#REF!-AX5</f>
        <v>#REF!</v>
      </c>
      <c r="BG5" s="22">
        <v>38273</v>
      </c>
      <c r="BH5" s="23">
        <v>22631064.800000001</v>
      </c>
      <c r="BI5" s="21"/>
      <c r="BJ5" s="21"/>
      <c r="BK5" s="21"/>
      <c r="BL5" s="21">
        <v>38675277.200000003</v>
      </c>
      <c r="BM5" s="55">
        <f t="shared" ref="BM5" si="13">BN5+BS5</f>
        <v>81675</v>
      </c>
      <c r="BN5" s="55">
        <f>BO5+BP5+BQ5</f>
        <v>81675</v>
      </c>
      <c r="BO5" s="51">
        <v>0</v>
      </c>
      <c r="BP5" s="23">
        <v>0</v>
      </c>
      <c r="BQ5" s="23">
        <v>81675</v>
      </c>
      <c r="BR5" s="23">
        <v>0</v>
      </c>
      <c r="BS5" s="23">
        <v>0</v>
      </c>
      <c r="BU5" s="1"/>
      <c r="BV5" s="1"/>
      <c r="BW5" s="1"/>
    </row>
    <row r="6" spans="1:75" ht="50.1" customHeight="1" thickBot="1" x14ac:dyDescent="0.3">
      <c r="A6" s="187">
        <v>60002100326</v>
      </c>
      <c r="B6" s="237">
        <v>59</v>
      </c>
      <c r="C6" s="238">
        <v>4357</v>
      </c>
      <c r="D6" s="238">
        <v>61</v>
      </c>
      <c r="E6" s="82" t="s">
        <v>101</v>
      </c>
      <c r="F6" s="87">
        <v>7</v>
      </c>
      <c r="G6" s="88" t="s">
        <v>97</v>
      </c>
      <c r="H6" s="71">
        <f>I6+J6</f>
        <v>44839417.100000001</v>
      </c>
      <c r="I6" s="69">
        <v>30486674.469999999</v>
      </c>
      <c r="J6" s="69">
        <v>14352742.630000001</v>
      </c>
      <c r="K6" s="69">
        <v>0</v>
      </c>
      <c r="L6" s="226">
        <v>44839</v>
      </c>
      <c r="M6" s="105">
        <v>37019</v>
      </c>
      <c r="N6" s="105">
        <v>7820</v>
      </c>
      <c r="O6" s="105">
        <v>15546840</v>
      </c>
      <c r="P6" s="105">
        <v>1131</v>
      </c>
      <c r="Q6" s="105">
        <f>L6*0.1</f>
        <v>4483.9000000000005</v>
      </c>
      <c r="R6" s="105">
        <v>6688</v>
      </c>
      <c r="S6" s="106">
        <v>11172</v>
      </c>
      <c r="T6" s="62"/>
      <c r="U6" s="59"/>
      <c r="V6" s="51">
        <f t="shared" si="1"/>
        <v>0</v>
      </c>
      <c r="W6" s="60">
        <v>0</v>
      </c>
      <c r="X6" s="61">
        <v>0</v>
      </c>
      <c r="Y6" s="61"/>
      <c r="Z6" s="61">
        <v>0</v>
      </c>
      <c r="AA6" s="59">
        <v>0</v>
      </c>
      <c r="AB6" s="51">
        <f>AC6+AD6+AF6</f>
        <v>0</v>
      </c>
      <c r="AC6" s="53">
        <v>0</v>
      </c>
      <c r="AD6" s="53">
        <v>0</v>
      </c>
      <c r="AE6" s="53"/>
      <c r="AF6" s="53">
        <v>0</v>
      </c>
      <c r="AG6" s="53">
        <v>0</v>
      </c>
      <c r="AH6" s="53"/>
      <c r="AI6" s="53"/>
      <c r="AJ6" s="53"/>
      <c r="AK6" s="59"/>
      <c r="AL6" s="62">
        <f>AN6+AO6+AQ6+AM6+AP6</f>
        <v>15546843.35</v>
      </c>
      <c r="AM6" s="53">
        <f>8750023+2341796+14041</f>
        <v>11105860</v>
      </c>
      <c r="AN6" s="53">
        <f>1544122+413258+2384125.35+2478</f>
        <v>4343983.3499999996</v>
      </c>
      <c r="AO6" s="53">
        <v>97000</v>
      </c>
      <c r="AP6" s="53"/>
      <c r="AQ6" s="53">
        <v>0</v>
      </c>
      <c r="AR6" s="54">
        <f t="shared" si="9"/>
        <v>4440983.3499999996</v>
      </c>
      <c r="AS6" s="53">
        <f>AC6+W6</f>
        <v>0</v>
      </c>
      <c r="AT6" s="53">
        <f t="shared" si="10"/>
        <v>4440983.3499999996</v>
      </c>
      <c r="AU6" s="53">
        <f t="shared" si="11"/>
        <v>4343983.3499999996</v>
      </c>
      <c r="AV6" s="53">
        <f t="shared" si="4"/>
        <v>97000</v>
      </c>
      <c r="AW6" s="53">
        <f>AP6</f>
        <v>0</v>
      </c>
      <c r="AX6" s="53">
        <f t="shared" si="6"/>
        <v>0</v>
      </c>
      <c r="AY6" s="55">
        <f>L6-AR6</f>
        <v>-4396144.3499999996</v>
      </c>
      <c r="AZ6" s="24"/>
      <c r="BA6" s="55">
        <f t="shared" si="12"/>
        <v>-4396144.3499999996</v>
      </c>
      <c r="BB6" s="51">
        <f>M6-AS6</f>
        <v>37019</v>
      </c>
      <c r="BC6" s="23">
        <f>N6-AU6-AV6</f>
        <v>-4433163.3499999996</v>
      </c>
      <c r="BD6" s="23">
        <v>0</v>
      </c>
      <c r="BE6" s="23" t="e">
        <f>#REF!-AW6</f>
        <v>#REF!</v>
      </c>
      <c r="BF6" s="59" t="e">
        <f>#REF!-AX6</f>
        <v>#REF!</v>
      </c>
      <c r="BG6" s="24">
        <v>0</v>
      </c>
      <c r="BH6" s="25">
        <f>L6</f>
        <v>44839</v>
      </c>
      <c r="BI6" s="26">
        <v>0</v>
      </c>
      <c r="BJ6" s="26">
        <v>0</v>
      </c>
      <c r="BK6" s="26">
        <v>0</v>
      </c>
      <c r="BL6" s="26">
        <f>M6</f>
        <v>37019</v>
      </c>
      <c r="BM6" s="55">
        <f>BN6+BS6</f>
        <v>0</v>
      </c>
      <c r="BN6" s="55">
        <f>BO6+BP6+BQ6</f>
        <v>0</v>
      </c>
      <c r="BO6" s="51">
        <v>0</v>
      </c>
      <c r="BP6" s="23">
        <v>0</v>
      </c>
      <c r="BQ6" s="23">
        <v>0</v>
      </c>
      <c r="BR6" s="63">
        <v>0</v>
      </c>
      <c r="BS6" s="25">
        <v>0</v>
      </c>
      <c r="BU6" s="1"/>
      <c r="BV6" s="1"/>
    </row>
    <row r="7" spans="1:75" ht="40.5" customHeight="1" thickTop="1" thickBot="1" x14ac:dyDescent="0.3">
      <c r="A7" s="188"/>
      <c r="B7" s="276" t="s">
        <v>102</v>
      </c>
      <c r="C7" s="277"/>
      <c r="D7" s="277"/>
      <c r="E7" s="277"/>
      <c r="F7" s="202"/>
      <c r="G7" s="236"/>
      <c r="H7" s="203">
        <f t="shared" ref="H7:AM7" si="14">SUM(H4:H6)</f>
        <v>131682511.09999999</v>
      </c>
      <c r="I7" s="203">
        <f t="shared" si="14"/>
        <v>95666651.670000002</v>
      </c>
      <c r="J7" s="203">
        <f t="shared" si="14"/>
        <v>36015859.43</v>
      </c>
      <c r="K7" s="203">
        <f t="shared" si="14"/>
        <v>0</v>
      </c>
      <c r="L7" s="197">
        <f>SUM(L4:L6)</f>
        <v>131646</v>
      </c>
      <c r="M7" s="197">
        <f t="shared" ref="M7:S7" si="15">SUM(M4:M6)</f>
        <v>110457</v>
      </c>
      <c r="N7" s="197">
        <f t="shared" si="15"/>
        <v>21189</v>
      </c>
      <c r="O7" s="197">
        <f t="shared" si="15"/>
        <v>36073660</v>
      </c>
      <c r="P7" s="197">
        <f t="shared" si="15"/>
        <v>3687</v>
      </c>
      <c r="Q7" s="197">
        <f t="shared" si="15"/>
        <v>39491.9</v>
      </c>
      <c r="R7" s="197">
        <f t="shared" si="15"/>
        <v>17502</v>
      </c>
      <c r="S7" s="197">
        <f t="shared" si="15"/>
        <v>56994</v>
      </c>
      <c r="T7" s="68">
        <f t="shared" si="14"/>
        <v>0</v>
      </c>
      <c r="U7" s="27">
        <f t="shared" si="14"/>
        <v>0</v>
      </c>
      <c r="V7" s="27">
        <f t="shared" si="14"/>
        <v>1102602</v>
      </c>
      <c r="W7" s="27">
        <f t="shared" si="14"/>
        <v>0</v>
      </c>
      <c r="X7" s="27">
        <f t="shared" si="14"/>
        <v>30000</v>
      </c>
      <c r="Y7" s="27">
        <f t="shared" si="14"/>
        <v>0</v>
      </c>
      <c r="Z7" s="27">
        <f t="shared" si="14"/>
        <v>1072602</v>
      </c>
      <c r="AA7" s="27">
        <f t="shared" si="14"/>
        <v>0</v>
      </c>
      <c r="AB7" s="27">
        <f t="shared" si="14"/>
        <v>158</v>
      </c>
      <c r="AC7" s="27">
        <f t="shared" si="14"/>
        <v>0</v>
      </c>
      <c r="AD7" s="27">
        <f t="shared" si="14"/>
        <v>0</v>
      </c>
      <c r="AE7" s="27">
        <f t="shared" si="14"/>
        <v>0</v>
      </c>
      <c r="AF7" s="27">
        <f t="shared" si="14"/>
        <v>158</v>
      </c>
      <c r="AG7" s="27">
        <f t="shared" si="14"/>
        <v>158</v>
      </c>
      <c r="AH7" s="27">
        <f t="shared" si="14"/>
        <v>0</v>
      </c>
      <c r="AI7" s="27">
        <f t="shared" si="14"/>
        <v>0</v>
      </c>
      <c r="AJ7" s="27">
        <f t="shared" si="14"/>
        <v>0</v>
      </c>
      <c r="AK7" s="27">
        <f t="shared" si="14"/>
        <v>158</v>
      </c>
      <c r="AL7" s="28">
        <f t="shared" si="14"/>
        <v>36073660.600000001</v>
      </c>
      <c r="AM7" s="29">
        <f t="shared" si="14"/>
        <v>22316488.75</v>
      </c>
      <c r="AN7" s="29">
        <f t="shared" ref="AN7:BS7" si="16">SUM(AN4:AN6)</f>
        <v>12760171.85</v>
      </c>
      <c r="AO7" s="29">
        <f t="shared" si="16"/>
        <v>997000</v>
      </c>
      <c r="AP7" s="30">
        <f t="shared" si="16"/>
        <v>0</v>
      </c>
      <c r="AQ7" s="31">
        <f t="shared" si="16"/>
        <v>0</v>
      </c>
      <c r="AR7" s="29">
        <f t="shared" si="16"/>
        <v>26070560.600000001</v>
      </c>
      <c r="AS7" s="30">
        <f t="shared" si="16"/>
        <v>11210628.75</v>
      </c>
      <c r="AT7" s="30">
        <f t="shared" si="16"/>
        <v>13787171.85</v>
      </c>
      <c r="AU7" s="31">
        <f t="shared" si="16"/>
        <v>12790171.85</v>
      </c>
      <c r="AV7" s="29">
        <f t="shared" si="16"/>
        <v>997000</v>
      </c>
      <c r="AW7" s="29">
        <f t="shared" si="16"/>
        <v>0</v>
      </c>
      <c r="AX7" s="32">
        <f t="shared" si="16"/>
        <v>1072760</v>
      </c>
      <c r="AY7" s="27">
        <f t="shared" si="16"/>
        <v>-25938914.600000001</v>
      </c>
      <c r="AZ7" s="27">
        <f t="shared" si="16"/>
        <v>0</v>
      </c>
      <c r="BA7" s="27">
        <f t="shared" si="16"/>
        <v>-24866154.600000001</v>
      </c>
      <c r="BB7" s="33">
        <f t="shared" si="16"/>
        <v>-11100171.75</v>
      </c>
      <c r="BC7" s="31">
        <f t="shared" si="16"/>
        <v>-13765982.85</v>
      </c>
      <c r="BD7" s="29">
        <f t="shared" si="16"/>
        <v>0</v>
      </c>
      <c r="BE7" s="29" t="e">
        <f t="shared" si="16"/>
        <v>#REF!</v>
      </c>
      <c r="BF7" s="32" t="e">
        <f t="shared" si="16"/>
        <v>#REF!</v>
      </c>
      <c r="BG7" s="27">
        <f t="shared" si="16"/>
        <v>38273</v>
      </c>
      <c r="BH7" s="27">
        <f t="shared" si="16"/>
        <v>52298903.799999997</v>
      </c>
      <c r="BI7" s="27">
        <f t="shared" si="16"/>
        <v>0</v>
      </c>
      <c r="BJ7" s="27">
        <f t="shared" si="16"/>
        <v>0</v>
      </c>
      <c r="BK7" s="27">
        <f t="shared" si="16"/>
        <v>0</v>
      </c>
      <c r="BL7" s="27">
        <f t="shared" si="16"/>
        <v>38738801.200000003</v>
      </c>
      <c r="BM7" s="27">
        <f t="shared" si="16"/>
        <v>81675</v>
      </c>
      <c r="BN7" s="27">
        <f t="shared" si="16"/>
        <v>81675</v>
      </c>
      <c r="BO7" s="27">
        <f t="shared" si="16"/>
        <v>0</v>
      </c>
      <c r="BP7" s="27">
        <f t="shared" si="16"/>
        <v>0</v>
      </c>
      <c r="BQ7" s="27">
        <f t="shared" si="16"/>
        <v>81675</v>
      </c>
      <c r="BR7" s="27">
        <f t="shared" si="16"/>
        <v>0</v>
      </c>
      <c r="BS7" s="29">
        <f t="shared" si="16"/>
        <v>0</v>
      </c>
    </row>
    <row r="8" spans="1:75" x14ac:dyDescent="0.25">
      <c r="H8" s="1"/>
      <c r="L8" s="49"/>
      <c r="N8" s="34">
        <f>N7-J7</f>
        <v>-35994670.43</v>
      </c>
      <c r="O8" s="34"/>
      <c r="P8" s="34"/>
      <c r="Q8" s="34"/>
      <c r="R8" s="34"/>
      <c r="S8" s="35"/>
      <c r="AY8" s="1"/>
      <c r="BA8" s="37"/>
      <c r="BB8" s="37" t="e">
        <f>BB7-#REF!-(6755022.25+6755021.4+6755021.4+5648607.85)-32853037.2</f>
        <v>#REF!</v>
      </c>
      <c r="BC8" s="1"/>
    </row>
    <row r="9" spans="1:75" hidden="1" x14ac:dyDescent="0.25">
      <c r="A9" s="9"/>
      <c r="B9" s="9"/>
      <c r="C9" s="9"/>
      <c r="D9" s="9"/>
      <c r="E9" s="275" t="s">
        <v>103</v>
      </c>
    </row>
    <row r="10" spans="1:75" hidden="1" x14ac:dyDescent="0.25">
      <c r="A10" s="9"/>
      <c r="B10" s="9"/>
      <c r="C10" s="9"/>
      <c r="D10" s="9"/>
      <c r="E10" s="275"/>
      <c r="AY10" s="1"/>
      <c r="BL10" s="1" t="e">
        <f>BL7+AY8-#REF!</f>
        <v>#REF!</v>
      </c>
    </row>
    <row r="13" spans="1:75" x14ac:dyDescent="0.25">
      <c r="P13" s="171"/>
    </row>
    <row r="14" spans="1:75" x14ac:dyDescent="0.25">
      <c r="P14" s="171"/>
    </row>
    <row r="15" spans="1:75" x14ac:dyDescent="0.25">
      <c r="P15" s="171"/>
      <c r="Q15" s="171"/>
    </row>
    <row r="19" spans="14:18" x14ac:dyDescent="0.25">
      <c r="N19" s="1"/>
      <c r="O19" s="1"/>
      <c r="P19" s="1"/>
      <c r="Q19" s="1"/>
      <c r="R19" s="1"/>
    </row>
    <row r="20" spans="14:18" x14ac:dyDescent="0.25">
      <c r="P20" s="171"/>
    </row>
  </sheetData>
  <mergeCells count="26">
    <mergeCell ref="A1:E1"/>
    <mergeCell ref="F2:F3"/>
    <mergeCell ref="H2:K2"/>
    <mergeCell ref="A2:A3"/>
    <mergeCell ref="BM2:BS2"/>
    <mergeCell ref="AT3:AW3"/>
    <mergeCell ref="V2:AA2"/>
    <mergeCell ref="AB2:AF2"/>
    <mergeCell ref="AG2:AK2"/>
    <mergeCell ref="AL2:AQ2"/>
    <mergeCell ref="AR2:AX2"/>
    <mergeCell ref="Q2:Q3"/>
    <mergeCell ref="R2:R3"/>
    <mergeCell ref="S2:S3"/>
    <mergeCell ref="BI2:BL2"/>
    <mergeCell ref="AY2:BF2"/>
    <mergeCell ref="M2:M3"/>
    <mergeCell ref="N2:N3"/>
    <mergeCell ref="P2:P3"/>
    <mergeCell ref="E9:E10"/>
    <mergeCell ref="B7:E7"/>
    <mergeCell ref="B2:B3"/>
    <mergeCell ref="C2:C3"/>
    <mergeCell ref="D2:D3"/>
    <mergeCell ref="E2:E3"/>
    <mergeCell ref="L2:L3"/>
  </mergeCells>
  <pageMargins left="0.70866141732283472" right="0.70866141732283472" top="0.78740157480314965" bottom="0.78740157480314965" header="0.31496062992125984" footer="0.31496062992125984"/>
  <pageSetup paperSize="9" scale="75" firstPageNumber="104" fitToHeight="0" orientation="landscape" useFirstPageNumber="1" r:id="rId1"/>
  <headerFooter>
    <oddFooter>&amp;L&amp;"-,Kurzíva"Zastupitelstvo Olomouckého kraje 12-12-2014
6.  - Rozpočet Olomouckého kraje 2015 - návrh rozpočtu
Příloha č. 7: Financování investičních akcí 5. až 12. alokace &amp;R&amp;"-,Kurzíva"Strana &amp;P (celkem 127)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7"/>
  <sheetViews>
    <sheetView zoomScaleNormal="100" workbookViewId="0">
      <pane ySplit="3" topLeftCell="A4" activePane="bottomLeft" state="frozen"/>
      <selection activeCell="D17" sqref="D17"/>
      <selection pane="bottomLeft" activeCell="BC10" sqref="BC10:BD10"/>
    </sheetView>
  </sheetViews>
  <sheetFormatPr defaultRowHeight="15" x14ac:dyDescent="0.25"/>
  <cols>
    <col min="1" max="1" width="14" hidden="1" customWidth="1"/>
    <col min="2" max="2" width="6.7109375" customWidth="1"/>
    <col min="3" max="3" width="11" hidden="1" customWidth="1"/>
    <col min="4" max="4" width="9.7109375" customWidth="1"/>
    <col min="5" max="5" width="38" customWidth="1"/>
    <col min="6" max="6" width="13.140625" hidden="1" customWidth="1"/>
    <col min="7" max="7" width="14.85546875" style="2" customWidth="1"/>
    <col min="8" max="8" width="13.140625" style="2" hidden="1" customWidth="1"/>
    <col min="9" max="9" width="13.42578125" style="2" hidden="1" customWidth="1"/>
    <col min="10" max="10" width="13.42578125" style="2" customWidth="1"/>
    <col min="11" max="11" width="15.28515625" style="2" customWidth="1"/>
    <col min="12" max="12" width="13.28515625" style="2" hidden="1" customWidth="1"/>
    <col min="13" max="14" width="15.140625" style="2" hidden="1" customWidth="1"/>
    <col min="15" max="15" width="13.140625" style="2" hidden="1" customWidth="1"/>
    <col min="16" max="16" width="13.85546875" style="2" hidden="1" customWidth="1"/>
    <col min="17" max="18" width="13.28515625" hidden="1" customWidth="1"/>
    <col min="19" max="19" width="12.140625" hidden="1" customWidth="1"/>
    <col min="20" max="20" width="14.28515625" hidden="1" customWidth="1"/>
    <col min="21" max="21" width="12.5703125" hidden="1" customWidth="1"/>
    <col min="22" max="22" width="11.5703125" hidden="1" customWidth="1"/>
    <col min="23" max="23" width="12.5703125" hidden="1" customWidth="1"/>
    <col min="24" max="24" width="12.140625" hidden="1" customWidth="1"/>
    <col min="25" max="25" width="9.140625" hidden="1" customWidth="1"/>
    <col min="26" max="26" width="12.28515625" hidden="1" customWidth="1"/>
    <col min="27" max="27" width="16.85546875" hidden="1" customWidth="1"/>
    <col min="28" max="28" width="13.42578125" hidden="1" customWidth="1"/>
    <col min="29" max="29" width="11.5703125" hidden="1" customWidth="1"/>
    <col min="30" max="30" width="11.28515625" hidden="1" customWidth="1"/>
    <col min="31" max="31" width="8.42578125" hidden="1" customWidth="1"/>
    <col min="32" max="32" width="12.28515625" hidden="1" customWidth="1"/>
    <col min="33" max="33" width="13.28515625" style="38" hidden="1" customWidth="1"/>
    <col min="34" max="34" width="13.42578125" hidden="1" customWidth="1"/>
    <col min="35" max="35" width="10" hidden="1" customWidth="1"/>
    <col min="36" max="36" width="9.85546875" hidden="1" customWidth="1"/>
    <col min="37" max="37" width="7.7109375" hidden="1" customWidth="1"/>
    <col min="38" max="39" width="10.5703125" hidden="1" customWidth="1"/>
    <col min="40" max="40" width="15.7109375" hidden="1" customWidth="1"/>
    <col min="41" max="41" width="14.140625" hidden="1" customWidth="1"/>
    <col min="42" max="42" width="13.85546875" hidden="1" customWidth="1"/>
    <col min="43" max="44" width="14.28515625" hidden="1" customWidth="1"/>
    <col min="45" max="45" width="15.140625" style="2" hidden="1" customWidth="1"/>
    <col min="46" max="46" width="12.140625" hidden="1" customWidth="1"/>
    <col min="47" max="47" width="12.28515625" hidden="1" customWidth="1"/>
    <col min="48" max="48" width="12.42578125" hidden="1" customWidth="1"/>
    <col min="49" max="49" width="13.42578125" hidden="1" customWidth="1"/>
    <col min="50" max="50" width="14.140625" hidden="1" customWidth="1"/>
    <col min="51" max="51" width="15.28515625" hidden="1" customWidth="1"/>
    <col min="52" max="52" width="16.42578125" hidden="1" customWidth="1"/>
    <col min="53" max="53" width="15.7109375" hidden="1" customWidth="1"/>
    <col min="54" max="54" width="16.7109375" customWidth="1"/>
    <col min="55" max="57" width="17.140625" customWidth="1"/>
    <col min="58" max="58" width="12.42578125" bestFit="1" customWidth="1"/>
    <col min="59" max="59" width="18.140625" customWidth="1"/>
    <col min="61" max="61" width="12.5703125" customWidth="1"/>
    <col min="62" max="62" width="12.42578125" bestFit="1" customWidth="1"/>
  </cols>
  <sheetData>
    <row r="1" spans="1:69" ht="27.75" customHeight="1" thickBot="1" x14ac:dyDescent="0.35">
      <c r="A1" s="4" t="s">
        <v>69</v>
      </c>
      <c r="B1" s="4" t="s">
        <v>69</v>
      </c>
      <c r="C1" s="4"/>
      <c r="D1" s="4"/>
      <c r="BE1" s="227" t="s">
        <v>151</v>
      </c>
    </row>
    <row r="2" spans="1:69" ht="36" customHeight="1" x14ac:dyDescent="0.25">
      <c r="A2" s="319" t="s">
        <v>0</v>
      </c>
      <c r="B2" s="323" t="s">
        <v>130</v>
      </c>
      <c r="C2" s="325" t="s">
        <v>131</v>
      </c>
      <c r="D2" s="280" t="s">
        <v>149</v>
      </c>
      <c r="E2" s="321" t="s">
        <v>1</v>
      </c>
      <c r="F2" s="307" t="s">
        <v>41</v>
      </c>
      <c r="G2" s="307" t="s">
        <v>145</v>
      </c>
      <c r="H2" s="307" t="s">
        <v>71</v>
      </c>
      <c r="I2" s="307" t="s">
        <v>39</v>
      </c>
      <c r="J2" s="317" t="s">
        <v>133</v>
      </c>
      <c r="K2" s="307" t="s">
        <v>143</v>
      </c>
      <c r="L2" s="307" t="s">
        <v>139</v>
      </c>
      <c r="M2" s="307" t="s">
        <v>104</v>
      </c>
      <c r="N2" s="317" t="s">
        <v>73</v>
      </c>
      <c r="O2" s="307" t="s">
        <v>115</v>
      </c>
      <c r="P2" s="337" t="s">
        <v>116</v>
      </c>
      <c r="Q2" s="286" t="s">
        <v>42</v>
      </c>
      <c r="R2" s="314"/>
      <c r="S2" s="307" t="s">
        <v>3</v>
      </c>
      <c r="T2" s="321" t="s">
        <v>4</v>
      </c>
      <c r="U2" s="321" t="s">
        <v>18</v>
      </c>
      <c r="V2" s="321"/>
      <c r="W2" s="321"/>
      <c r="X2" s="321"/>
      <c r="Y2" s="321"/>
      <c r="Z2" s="321"/>
      <c r="AA2" s="321"/>
      <c r="AB2" s="307" t="s">
        <v>36</v>
      </c>
      <c r="AC2" s="307" t="s">
        <v>38</v>
      </c>
      <c r="AD2" s="307"/>
      <c r="AE2" s="307"/>
      <c r="AF2" s="307"/>
      <c r="AG2" s="307"/>
      <c r="AH2" s="307" t="s">
        <v>35</v>
      </c>
      <c r="AI2" s="307"/>
      <c r="AJ2" s="307"/>
      <c r="AK2" s="307"/>
      <c r="AL2" s="307"/>
      <c r="AM2" s="307"/>
      <c r="AN2" s="307" t="s">
        <v>37</v>
      </c>
      <c r="AO2" s="307" t="s">
        <v>5</v>
      </c>
      <c r="AP2" s="307" t="s">
        <v>6</v>
      </c>
      <c r="AQ2" s="307" t="s">
        <v>7</v>
      </c>
      <c r="AR2" s="311" t="s">
        <v>72</v>
      </c>
      <c r="AS2" s="309" t="s">
        <v>140</v>
      </c>
      <c r="AT2" s="309" t="s">
        <v>43</v>
      </c>
      <c r="AU2" s="309"/>
      <c r="AV2" s="309"/>
      <c r="AW2" s="309"/>
      <c r="AX2" s="255"/>
      <c r="AY2" s="331" t="s">
        <v>141</v>
      </c>
      <c r="AZ2" s="333" t="s">
        <v>114</v>
      </c>
      <c r="BA2" s="307" t="s">
        <v>123</v>
      </c>
      <c r="BB2" s="335" t="s">
        <v>136</v>
      </c>
      <c r="BC2" s="273" t="s">
        <v>120</v>
      </c>
      <c r="BD2" s="273" t="s">
        <v>144</v>
      </c>
      <c r="BE2" s="273" t="s">
        <v>138</v>
      </c>
    </row>
    <row r="3" spans="1:69" ht="18.75" customHeight="1" thickBot="1" x14ac:dyDescent="0.3">
      <c r="A3" s="320"/>
      <c r="B3" s="324"/>
      <c r="C3" s="326"/>
      <c r="D3" s="327"/>
      <c r="E3" s="322"/>
      <c r="F3" s="308"/>
      <c r="G3" s="308"/>
      <c r="H3" s="308"/>
      <c r="I3" s="308"/>
      <c r="J3" s="318"/>
      <c r="K3" s="308"/>
      <c r="L3" s="308"/>
      <c r="M3" s="308"/>
      <c r="N3" s="318"/>
      <c r="O3" s="308"/>
      <c r="P3" s="338"/>
      <c r="Q3" s="315"/>
      <c r="R3" s="316"/>
      <c r="S3" s="308"/>
      <c r="T3" s="322"/>
      <c r="U3" s="254" t="s">
        <v>74</v>
      </c>
      <c r="V3" s="254" t="s">
        <v>34</v>
      </c>
      <c r="W3" s="256" t="s">
        <v>8</v>
      </c>
      <c r="X3" s="256" t="s">
        <v>9</v>
      </c>
      <c r="Y3" s="256" t="s">
        <v>10</v>
      </c>
      <c r="Z3" s="256" t="s">
        <v>11</v>
      </c>
      <c r="AA3" s="256" t="s">
        <v>17</v>
      </c>
      <c r="AB3" s="308"/>
      <c r="AC3" s="256" t="s">
        <v>8</v>
      </c>
      <c r="AD3" s="256" t="s">
        <v>9</v>
      </c>
      <c r="AE3" s="256" t="s">
        <v>10</v>
      </c>
      <c r="AF3" s="256" t="s">
        <v>11</v>
      </c>
      <c r="AG3" s="256" t="s">
        <v>17</v>
      </c>
      <c r="AH3" s="254" t="s">
        <v>40</v>
      </c>
      <c r="AI3" s="256" t="s">
        <v>8</v>
      </c>
      <c r="AJ3" s="256" t="s">
        <v>9</v>
      </c>
      <c r="AK3" s="256" t="s">
        <v>10</v>
      </c>
      <c r="AL3" s="256" t="s">
        <v>11</v>
      </c>
      <c r="AM3" s="256" t="s">
        <v>17</v>
      </c>
      <c r="AN3" s="308"/>
      <c r="AO3" s="308"/>
      <c r="AP3" s="308"/>
      <c r="AQ3" s="308"/>
      <c r="AR3" s="312"/>
      <c r="AS3" s="310"/>
      <c r="AT3" s="257" t="s">
        <v>40</v>
      </c>
      <c r="AU3" s="258" t="s">
        <v>8</v>
      </c>
      <c r="AV3" s="258" t="s">
        <v>44</v>
      </c>
      <c r="AW3" s="258" t="s">
        <v>11</v>
      </c>
      <c r="AX3" s="259"/>
      <c r="AY3" s="332"/>
      <c r="AZ3" s="334"/>
      <c r="BA3" s="308"/>
      <c r="BB3" s="336"/>
      <c r="BC3" s="330"/>
      <c r="BD3" s="330"/>
      <c r="BE3" s="330"/>
    </row>
    <row r="4" spans="1:69" ht="29.25" customHeight="1" x14ac:dyDescent="0.25">
      <c r="A4" s="190">
        <v>60001100469</v>
      </c>
      <c r="B4" s="239">
        <v>52</v>
      </c>
      <c r="C4" s="240">
        <v>3122</v>
      </c>
      <c r="D4" s="240">
        <v>61</v>
      </c>
      <c r="E4" s="241" t="s">
        <v>12</v>
      </c>
      <c r="F4" s="242">
        <v>8814808.0500000007</v>
      </c>
      <c r="G4" s="243">
        <v>8764</v>
      </c>
      <c r="H4" s="243">
        <v>3609661</v>
      </c>
      <c r="I4" s="243">
        <v>5205147.05</v>
      </c>
      <c r="J4" s="243">
        <v>4718</v>
      </c>
      <c r="K4" s="243">
        <v>4045</v>
      </c>
      <c r="L4" s="243">
        <f>O4+P4</f>
        <v>4045589.75</v>
      </c>
      <c r="M4" s="243">
        <v>0</v>
      </c>
      <c r="N4" s="243"/>
      <c r="O4" s="243">
        <v>524240.85</v>
      </c>
      <c r="P4" s="243">
        <v>3521348.9</v>
      </c>
      <c r="Q4" s="244">
        <v>0</v>
      </c>
      <c r="R4" s="244">
        <f t="shared" ref="R4" si="0">X4+Y4+AD4+AE4</f>
        <v>0</v>
      </c>
      <c r="S4" s="244"/>
      <c r="T4" s="244">
        <v>4877199.05</v>
      </c>
      <c r="U4" s="244">
        <f>12754+246000</f>
        <v>258754</v>
      </c>
      <c r="V4" s="244">
        <v>0</v>
      </c>
      <c r="W4" s="243">
        <v>0</v>
      </c>
      <c r="X4" s="243">
        <v>0</v>
      </c>
      <c r="Y4" s="243">
        <v>0</v>
      </c>
      <c r="Z4" s="243">
        <v>22000</v>
      </c>
      <c r="AA4" s="244">
        <f t="shared" ref="AA4" si="1">W4+X4+Y4+Z4+U4</f>
        <v>280754</v>
      </c>
      <c r="AB4" s="244">
        <f>L4-AA4</f>
        <v>3764835.75</v>
      </c>
      <c r="AC4" s="244">
        <v>0</v>
      </c>
      <c r="AD4" s="244">
        <v>0</v>
      </c>
      <c r="AE4" s="244">
        <v>0</v>
      </c>
      <c r="AF4" s="244">
        <v>0</v>
      </c>
      <c r="AG4" s="149">
        <f t="shared" ref="AG4:AG9" si="2">AC4+AD4+AE4+AF4</f>
        <v>0</v>
      </c>
      <c r="AH4" s="244"/>
      <c r="AI4" s="243">
        <v>0</v>
      </c>
      <c r="AJ4" s="243">
        <v>0</v>
      </c>
      <c r="AK4" s="243">
        <v>0</v>
      </c>
      <c r="AL4" s="243">
        <v>0</v>
      </c>
      <c r="AM4" s="243">
        <f t="shared" ref="AM4" si="3">AI4+AJ4+AK4+AL4</f>
        <v>0</v>
      </c>
      <c r="AN4" s="244">
        <f t="shared" ref="AN4:AN9" si="4">I4-AA4-AM4</f>
        <v>4924393.05</v>
      </c>
      <c r="AO4" s="244">
        <f>0-AA4</f>
        <v>-280754</v>
      </c>
      <c r="AP4" s="244">
        <v>4877199.05</v>
      </c>
      <c r="AQ4" s="244"/>
      <c r="AR4" s="243">
        <f>Q4+R4-U4</f>
        <v>-258754</v>
      </c>
      <c r="AS4" s="243">
        <f t="shared" ref="AS4" si="5">K4-W4-X4-Y4-Z4-AG4</f>
        <v>-17955</v>
      </c>
      <c r="AT4" s="243">
        <f t="shared" ref="AT4" si="6">Q4-U4</f>
        <v>-258754</v>
      </c>
      <c r="AU4" s="243">
        <f t="shared" ref="AU4" si="7">O4-W4-AC4</f>
        <v>524240.85</v>
      </c>
      <c r="AV4" s="243">
        <f t="shared" ref="AV4" si="8">M4-X4-Y4-AD4-AE4</f>
        <v>0</v>
      </c>
      <c r="AW4" s="243">
        <f t="shared" ref="AW4" si="9">P4-Z4-AF4</f>
        <v>3499348.9</v>
      </c>
      <c r="AX4" s="245">
        <f t="shared" ref="AX4:AX9" si="10">AW4+AU4+AV4</f>
        <v>4023589.75</v>
      </c>
      <c r="AY4" s="243">
        <f t="shared" ref="AY4" si="11">AS4+AR4</f>
        <v>-276709</v>
      </c>
      <c r="AZ4" s="246"/>
      <c r="BA4" s="244">
        <v>491970</v>
      </c>
      <c r="BB4" s="244">
        <v>3681</v>
      </c>
      <c r="BC4" s="244">
        <v>0</v>
      </c>
      <c r="BD4" s="244">
        <v>365</v>
      </c>
      <c r="BE4" s="247">
        <v>365</v>
      </c>
    </row>
    <row r="5" spans="1:69" s="5" customFormat="1" ht="27.75" customHeight="1" x14ac:dyDescent="0.25">
      <c r="A5" s="186">
        <v>60002100494</v>
      </c>
      <c r="B5" s="83">
        <v>52</v>
      </c>
      <c r="C5" s="96">
        <v>4357</v>
      </c>
      <c r="D5" s="96">
        <v>61</v>
      </c>
      <c r="E5" s="66" t="s">
        <v>13</v>
      </c>
      <c r="F5" s="95">
        <v>19159078</v>
      </c>
      <c r="G5" s="112">
        <v>21724</v>
      </c>
      <c r="H5" s="112">
        <v>9448040</v>
      </c>
      <c r="I5" s="112">
        <v>9711038</v>
      </c>
      <c r="J5" s="112">
        <v>12052</v>
      </c>
      <c r="K5" s="112">
        <v>9672</v>
      </c>
      <c r="L5" s="112">
        <f t="shared" ref="L5" si="12">O5+P5+Q5</f>
        <v>10080572.5</v>
      </c>
      <c r="M5" s="112">
        <v>0</v>
      </c>
      <c r="N5" s="112"/>
      <c r="O5" s="112">
        <v>1183525</v>
      </c>
      <c r="P5" s="112">
        <v>8488426.4000000004</v>
      </c>
      <c r="Q5" s="113">
        <f>12475892-I5-1015063.6-1332835.7-8333.6</f>
        <v>408621.1</v>
      </c>
      <c r="R5" s="113">
        <f>X5+Y5+AD5+AE5</f>
        <v>20671.829999999998</v>
      </c>
      <c r="S5" s="113"/>
      <c r="T5" s="113">
        <v>9129747</v>
      </c>
      <c r="U5" s="113">
        <f>637690+3800000+2631112+1329285.13</f>
        <v>8398087.129999999</v>
      </c>
      <c r="V5" s="113">
        <v>0</v>
      </c>
      <c r="W5" s="112">
        <f>1832.23+294000</f>
        <v>295832.23</v>
      </c>
      <c r="X5" s="112">
        <v>15573.95</v>
      </c>
      <c r="Y5" s="112">
        <v>916.12</v>
      </c>
      <c r="Z5" s="112">
        <v>3298600</v>
      </c>
      <c r="AA5" s="113">
        <f t="shared" ref="AA5:AA9" si="13">W5+X5+Y5+Z5+U5</f>
        <v>12009009.43</v>
      </c>
      <c r="AB5" s="113">
        <f>I5-AA5</f>
        <v>-2297971.4299999997</v>
      </c>
      <c r="AC5" s="113">
        <v>464.64</v>
      </c>
      <c r="AD5" s="113">
        <v>3949.44</v>
      </c>
      <c r="AE5" s="113">
        <v>232.32</v>
      </c>
      <c r="AF5" s="113">
        <v>482908</v>
      </c>
      <c r="AG5" s="114">
        <f t="shared" si="2"/>
        <v>487554.4</v>
      </c>
      <c r="AH5" s="113"/>
      <c r="AI5" s="112">
        <v>1832.23</v>
      </c>
      <c r="AJ5" s="112">
        <v>15573.95</v>
      </c>
      <c r="AK5" s="112">
        <v>916.12</v>
      </c>
      <c r="AL5" s="112">
        <v>1719868.71</v>
      </c>
      <c r="AM5" s="112">
        <f t="shared" ref="AM5:AM9" si="14">AI5+AJ5+AK5+AL5</f>
        <v>1738191.01</v>
      </c>
      <c r="AN5" s="113">
        <f t="shared" si="4"/>
        <v>-4036162.4399999995</v>
      </c>
      <c r="AO5" s="113">
        <f>3000000-AA5</f>
        <v>-9009009.4299999997</v>
      </c>
      <c r="AP5" s="113">
        <v>6129474</v>
      </c>
      <c r="AQ5" s="113"/>
      <c r="AR5" s="112">
        <f t="shared" ref="AR5" si="15">Q5+R5-U5</f>
        <v>-7968794.1999999993</v>
      </c>
      <c r="AS5" s="112">
        <f t="shared" ref="AS5" si="16">K5-W5-X5-Y5-Z5-AG5</f>
        <v>-4088804.6999999997</v>
      </c>
      <c r="AT5" s="112">
        <f t="shared" ref="AT5:AT9" si="17">Q5-U5</f>
        <v>-7989466.0299999993</v>
      </c>
      <c r="AU5" s="112">
        <f t="shared" ref="AU5:AU9" si="18">O5-W5-AC5</f>
        <v>887228.13</v>
      </c>
      <c r="AV5" s="112">
        <f t="shared" ref="AV5:AV9" si="19">M5-X5-Y5-AD5-AE5</f>
        <v>-20671.829999999998</v>
      </c>
      <c r="AW5" s="112">
        <f t="shared" ref="AW5:AW9" si="20">P5-Z5-AF5</f>
        <v>4706918.4000000004</v>
      </c>
      <c r="AX5" s="115">
        <f t="shared" si="10"/>
        <v>5573474.7000000002</v>
      </c>
      <c r="AY5" s="112">
        <f t="shared" ref="AY5:AY9" si="21">AS5+AR5</f>
        <v>-12057598.899999999</v>
      </c>
      <c r="AZ5" s="116"/>
      <c r="BA5" s="113">
        <v>13009010</v>
      </c>
      <c r="BB5" s="113">
        <v>8272</v>
      </c>
      <c r="BC5" s="113">
        <v>0</v>
      </c>
      <c r="BD5" s="113">
        <v>1400</v>
      </c>
      <c r="BE5" s="163">
        <v>1400</v>
      </c>
      <c r="BG5"/>
    </row>
    <row r="6" spans="1:69" ht="32.25" customHeight="1" x14ac:dyDescent="0.25">
      <c r="A6" s="191">
        <v>60001100795</v>
      </c>
      <c r="B6" s="166">
        <v>59</v>
      </c>
      <c r="C6" s="97">
        <v>3122</v>
      </c>
      <c r="D6" s="97">
        <v>61</v>
      </c>
      <c r="E6" s="110" t="s">
        <v>14</v>
      </c>
      <c r="F6" s="98">
        <v>8012000</v>
      </c>
      <c r="G6" s="112">
        <v>7939</v>
      </c>
      <c r="H6" s="112">
        <v>5608400</v>
      </c>
      <c r="I6" s="112">
        <v>2403600</v>
      </c>
      <c r="J6" s="112">
        <v>6748</v>
      </c>
      <c r="K6" s="112">
        <v>1191</v>
      </c>
      <c r="L6" s="112">
        <f>O6+P6+Q6</f>
        <v>1190.8499999999999</v>
      </c>
      <c r="M6" s="112">
        <v>2043060</v>
      </c>
      <c r="N6" s="112">
        <v>2043060</v>
      </c>
      <c r="O6" s="112">
        <f>G6*0.15</f>
        <v>1190.8499999999999</v>
      </c>
      <c r="P6" s="112">
        <v>0</v>
      </c>
      <c r="Q6" s="112">
        <v>0</v>
      </c>
      <c r="R6" s="112">
        <f t="shared" ref="R6" si="22">X6+Y6+AD6+AE6</f>
        <v>0</v>
      </c>
      <c r="S6" s="112">
        <v>120000</v>
      </c>
      <c r="T6" s="112">
        <v>3966120</v>
      </c>
      <c r="U6" s="112">
        <v>2043060</v>
      </c>
      <c r="V6" s="112">
        <v>0</v>
      </c>
      <c r="W6" s="112">
        <v>833632.54</v>
      </c>
      <c r="X6" s="112">
        <v>0</v>
      </c>
      <c r="Y6" s="112">
        <v>0</v>
      </c>
      <c r="Z6" s="112">
        <v>0</v>
      </c>
      <c r="AA6" s="112">
        <f t="shared" si="13"/>
        <v>2876692.54</v>
      </c>
      <c r="AB6" s="112">
        <f>I6-AA6</f>
        <v>-473092.54000000004</v>
      </c>
      <c r="AC6" s="112">
        <v>0</v>
      </c>
      <c r="AD6" s="112">
        <v>0</v>
      </c>
      <c r="AE6" s="112">
        <v>0</v>
      </c>
      <c r="AF6" s="112">
        <v>0</v>
      </c>
      <c r="AG6" s="112">
        <f t="shared" si="2"/>
        <v>0</v>
      </c>
      <c r="AH6" s="112"/>
      <c r="AI6" s="112">
        <v>0</v>
      </c>
      <c r="AJ6" s="112">
        <v>0</v>
      </c>
      <c r="AK6" s="112">
        <v>0</v>
      </c>
      <c r="AL6" s="112">
        <v>0</v>
      </c>
      <c r="AM6" s="112">
        <f t="shared" si="14"/>
        <v>0</v>
      </c>
      <c r="AN6" s="112">
        <f t="shared" si="4"/>
        <v>-473092.54000000004</v>
      </c>
      <c r="AO6" s="112">
        <v>0</v>
      </c>
      <c r="AP6" s="112">
        <v>3966120</v>
      </c>
      <c r="AQ6" s="112">
        <v>1941060</v>
      </c>
      <c r="AR6" s="112">
        <f>Q6+R6+M6-U6-V6</f>
        <v>0</v>
      </c>
      <c r="AS6" s="112">
        <f t="shared" ref="AS6:AS9" si="23">K6-W6-X6-Y6-Z6-AG6</f>
        <v>-832441.54</v>
      </c>
      <c r="AT6" s="112">
        <f t="shared" si="17"/>
        <v>-2043060</v>
      </c>
      <c r="AU6" s="112">
        <f t="shared" si="18"/>
        <v>-832441.69000000006</v>
      </c>
      <c r="AV6" s="112">
        <f t="shared" si="19"/>
        <v>2043060</v>
      </c>
      <c r="AW6" s="112">
        <f t="shared" si="20"/>
        <v>0</v>
      </c>
      <c r="AX6" s="115">
        <f t="shared" si="10"/>
        <v>1210618.31</v>
      </c>
      <c r="AY6" s="112">
        <f t="shared" si="21"/>
        <v>-832441.54</v>
      </c>
      <c r="AZ6" s="115"/>
      <c r="BA6" s="114">
        <v>2528630</v>
      </c>
      <c r="BB6" s="113">
        <v>675</v>
      </c>
      <c r="BC6" s="112">
        <v>675</v>
      </c>
      <c r="BD6" s="113">
        <v>516</v>
      </c>
      <c r="BE6" s="194">
        <v>1191</v>
      </c>
      <c r="BI6" s="1"/>
      <c r="BJ6" s="1"/>
      <c r="BK6" s="47"/>
      <c r="BQ6" t="s">
        <v>118</v>
      </c>
    </row>
    <row r="7" spans="1:69" ht="29.25" customHeight="1" x14ac:dyDescent="0.25">
      <c r="A7" s="191">
        <v>60001100573</v>
      </c>
      <c r="B7" s="166">
        <v>59</v>
      </c>
      <c r="C7" s="97">
        <v>3122</v>
      </c>
      <c r="D7" s="97">
        <v>61</v>
      </c>
      <c r="E7" s="110" t="s">
        <v>15</v>
      </c>
      <c r="F7" s="94">
        <v>19922102</v>
      </c>
      <c r="G7" s="112">
        <v>18711</v>
      </c>
      <c r="H7" s="112">
        <v>13945471.4</v>
      </c>
      <c r="I7" s="112">
        <v>5976630.5999999996</v>
      </c>
      <c r="J7" s="112">
        <v>14600</v>
      </c>
      <c r="K7" s="112">
        <v>4111</v>
      </c>
      <c r="L7" s="112">
        <f>O7+P7+Q7</f>
        <v>4244669.07</v>
      </c>
      <c r="M7" s="112">
        <v>5320695.8</v>
      </c>
      <c r="N7" s="112">
        <f>6278908.35-5428908.35</f>
        <v>850000</v>
      </c>
      <c r="O7" s="112">
        <v>2576516.77</v>
      </c>
      <c r="P7" s="112">
        <f>1110702+423500</f>
        <v>1534202</v>
      </c>
      <c r="Q7" s="113">
        <v>133950.29999999999</v>
      </c>
      <c r="R7" s="113">
        <v>5015000</v>
      </c>
      <c r="S7" s="113">
        <v>120000</v>
      </c>
      <c r="T7" s="113">
        <v>15327286.9</v>
      </c>
      <c r="U7" s="113">
        <f>11386951-4000000-5428908.35</f>
        <v>1958042.6500000004</v>
      </c>
      <c r="V7" s="113">
        <v>0</v>
      </c>
      <c r="W7" s="112">
        <v>885000</v>
      </c>
      <c r="X7" s="112">
        <f>5015000-5451.81</f>
        <v>5009548.1900000004</v>
      </c>
      <c r="Y7" s="112">
        <v>0</v>
      </c>
      <c r="Z7" s="112">
        <v>5000</v>
      </c>
      <c r="AA7" s="113">
        <f t="shared" si="13"/>
        <v>7857590.8400000008</v>
      </c>
      <c r="AB7" s="113">
        <f>I7-AA7</f>
        <v>-1880960.2400000012</v>
      </c>
      <c r="AC7" s="113">
        <v>0</v>
      </c>
      <c r="AD7" s="113">
        <v>0</v>
      </c>
      <c r="AE7" s="113">
        <v>0</v>
      </c>
      <c r="AF7" s="113">
        <v>0</v>
      </c>
      <c r="AG7" s="114">
        <f t="shared" si="2"/>
        <v>0</v>
      </c>
      <c r="AH7" s="113"/>
      <c r="AI7" s="112">
        <v>0</v>
      </c>
      <c r="AJ7" s="112">
        <v>0</v>
      </c>
      <c r="AK7" s="112">
        <v>0</v>
      </c>
      <c r="AL7" s="112">
        <v>5000</v>
      </c>
      <c r="AM7" s="112">
        <f t="shared" si="14"/>
        <v>5000</v>
      </c>
      <c r="AN7" s="113">
        <f t="shared" si="4"/>
        <v>-1885960.2400000012</v>
      </c>
      <c r="AO7" s="113">
        <v>0</v>
      </c>
      <c r="AP7" s="113">
        <v>15327286.9</v>
      </c>
      <c r="AQ7" s="113">
        <v>11398082.65</v>
      </c>
      <c r="AR7" s="112">
        <f>Q7+R7+M7-U7-V7</f>
        <v>8511603.4499999993</v>
      </c>
      <c r="AS7" s="112">
        <f t="shared" si="23"/>
        <v>-5895437.1900000004</v>
      </c>
      <c r="AT7" s="112">
        <f t="shared" si="17"/>
        <v>-1824092.3500000003</v>
      </c>
      <c r="AU7" s="112">
        <f t="shared" si="18"/>
        <v>1691516.77</v>
      </c>
      <c r="AV7" s="112">
        <f t="shared" si="19"/>
        <v>311147.6099999994</v>
      </c>
      <c r="AW7" s="112">
        <f t="shared" si="20"/>
        <v>1529202</v>
      </c>
      <c r="AX7" s="115">
        <f t="shared" si="10"/>
        <v>3531866.3799999994</v>
      </c>
      <c r="AY7" s="112">
        <f t="shared" si="21"/>
        <v>2616166.2599999988</v>
      </c>
      <c r="AZ7" s="116"/>
      <c r="BA7" s="114">
        <v>7857590</v>
      </c>
      <c r="BB7" s="113">
        <v>2508</v>
      </c>
      <c r="BC7" s="113">
        <v>9084</v>
      </c>
      <c r="BD7" s="113">
        <v>1603</v>
      </c>
      <c r="BE7" s="163">
        <v>10687</v>
      </c>
    </row>
    <row r="8" spans="1:69" ht="27.75" customHeight="1" x14ac:dyDescent="0.25">
      <c r="A8" s="191">
        <v>60001100792</v>
      </c>
      <c r="B8" s="166">
        <v>59</v>
      </c>
      <c r="C8" s="97">
        <v>3122</v>
      </c>
      <c r="D8" s="97">
        <v>61</v>
      </c>
      <c r="E8" s="110" t="s">
        <v>16</v>
      </c>
      <c r="F8" s="94">
        <v>29512479</v>
      </c>
      <c r="G8" s="112">
        <v>29496</v>
      </c>
      <c r="H8" s="112">
        <v>20375458.600000001</v>
      </c>
      <c r="I8" s="112">
        <v>9137020.4000000004</v>
      </c>
      <c r="J8" s="112">
        <v>24742</v>
      </c>
      <c r="K8" s="112">
        <v>4754</v>
      </c>
      <c r="L8" s="112">
        <f>O8+P8+Q8</f>
        <v>4754122.91</v>
      </c>
      <c r="M8" s="112">
        <v>7726409.5300000003</v>
      </c>
      <c r="N8" s="112">
        <v>2662200</v>
      </c>
      <c r="O8" s="112">
        <v>4086765.91</v>
      </c>
      <c r="P8" s="112">
        <v>667357</v>
      </c>
      <c r="Q8" s="113">
        <v>0</v>
      </c>
      <c r="R8" s="113">
        <f>X8+Y8+AD8+AE8</f>
        <v>6901828.2999999998</v>
      </c>
      <c r="S8" s="113">
        <v>120000</v>
      </c>
      <c r="T8" s="113">
        <v>22073140.399999999</v>
      </c>
      <c r="U8" s="113">
        <f>844800+4787200+525000+2975000+1568429.7-6000000</f>
        <v>4700429.6999999993</v>
      </c>
      <c r="V8" s="113">
        <v>0</v>
      </c>
      <c r="W8" s="112">
        <f>392969.7+825000</f>
        <v>1217969.7</v>
      </c>
      <c r="X8" s="112">
        <f>2226828.3+4675000</f>
        <v>6901828.2999999998</v>
      </c>
      <c r="Y8" s="112">
        <v>0</v>
      </c>
      <c r="Z8" s="112">
        <v>231315</v>
      </c>
      <c r="AA8" s="113">
        <f t="shared" si="13"/>
        <v>13051542.699999999</v>
      </c>
      <c r="AB8" s="113">
        <f>I8-AA8</f>
        <v>-3914522.2999999989</v>
      </c>
      <c r="AC8" s="113">
        <v>0</v>
      </c>
      <c r="AD8" s="113">
        <v>0</v>
      </c>
      <c r="AE8" s="113">
        <v>0</v>
      </c>
      <c r="AF8" s="113">
        <v>0</v>
      </c>
      <c r="AG8" s="114">
        <f t="shared" si="2"/>
        <v>0</v>
      </c>
      <c r="AH8" s="113"/>
      <c r="AI8" s="112">
        <v>0</v>
      </c>
      <c r="AJ8" s="112">
        <v>0</v>
      </c>
      <c r="AK8" s="112">
        <v>0</v>
      </c>
      <c r="AL8" s="112">
        <v>0</v>
      </c>
      <c r="AM8" s="112">
        <f t="shared" si="14"/>
        <v>0</v>
      </c>
      <c r="AN8" s="113">
        <f t="shared" si="4"/>
        <v>-3914522.2999999989</v>
      </c>
      <c r="AO8" s="113">
        <v>0</v>
      </c>
      <c r="AP8" s="113">
        <v>22073140.399999999</v>
      </c>
      <c r="AQ8" s="113">
        <v>15751860</v>
      </c>
      <c r="AR8" s="112">
        <f>Q8+R8+M8-U8-V8</f>
        <v>9927808.1300000008</v>
      </c>
      <c r="AS8" s="112">
        <f t="shared" si="23"/>
        <v>-8346359</v>
      </c>
      <c r="AT8" s="112">
        <f t="shared" si="17"/>
        <v>-4700429.6999999993</v>
      </c>
      <c r="AU8" s="112">
        <f t="shared" si="18"/>
        <v>2868796.21</v>
      </c>
      <c r="AV8" s="112">
        <f t="shared" si="19"/>
        <v>824581.23000000045</v>
      </c>
      <c r="AW8" s="112">
        <f t="shared" si="20"/>
        <v>436042</v>
      </c>
      <c r="AX8" s="115">
        <f t="shared" si="10"/>
        <v>4129419.4400000004</v>
      </c>
      <c r="AY8" s="112">
        <f t="shared" si="21"/>
        <v>1581449.1300000008</v>
      </c>
      <c r="AZ8" s="116"/>
      <c r="BA8" s="114">
        <v>13160690</v>
      </c>
      <c r="BB8" s="113">
        <v>2316</v>
      </c>
      <c r="BC8" s="113">
        <v>13814</v>
      </c>
      <c r="BD8" s="113">
        <v>2438</v>
      </c>
      <c r="BE8" s="194">
        <v>16252</v>
      </c>
    </row>
    <row r="9" spans="1:69" ht="28.5" customHeight="1" thickBot="1" x14ac:dyDescent="0.3">
      <c r="A9" s="192">
        <v>60004100535</v>
      </c>
      <c r="B9" s="189">
        <v>50</v>
      </c>
      <c r="C9" s="99">
        <v>2212</v>
      </c>
      <c r="D9" s="99">
        <v>61</v>
      </c>
      <c r="E9" s="111" t="s">
        <v>142</v>
      </c>
      <c r="F9" s="100">
        <v>87330203.049999997</v>
      </c>
      <c r="G9" s="117">
        <v>87407</v>
      </c>
      <c r="H9" s="117">
        <v>26570472.300000001</v>
      </c>
      <c r="I9" s="117">
        <v>24323892.300000001</v>
      </c>
      <c r="J9" s="117">
        <v>73166</v>
      </c>
      <c r="K9" s="117">
        <v>14242</v>
      </c>
      <c r="L9" s="117">
        <v>1746813.85</v>
      </c>
      <c r="M9" s="117">
        <v>835233.69</v>
      </c>
      <c r="N9" s="117">
        <v>2582047.54</v>
      </c>
      <c r="O9" s="117">
        <f>(G9-P9)*0.15</f>
        <v>-186417.3</v>
      </c>
      <c r="P9" s="117">
        <v>1330189</v>
      </c>
      <c r="Q9" s="118">
        <v>0</v>
      </c>
      <c r="R9" s="118">
        <f>X9+Y9+AD9+AE9</f>
        <v>0</v>
      </c>
      <c r="S9" s="118">
        <v>98010</v>
      </c>
      <c r="T9" s="118">
        <v>0</v>
      </c>
      <c r="U9" s="118">
        <v>0</v>
      </c>
      <c r="V9" s="118">
        <v>0</v>
      </c>
      <c r="W9" s="117">
        <v>10185784.77</v>
      </c>
      <c r="X9" s="117">
        <v>0</v>
      </c>
      <c r="Y9" s="117">
        <v>0</v>
      </c>
      <c r="Z9" s="117">
        <v>529859</v>
      </c>
      <c r="AA9" s="118">
        <f t="shared" si="13"/>
        <v>10715643.77</v>
      </c>
      <c r="AB9" s="117">
        <f>I9-AA9</f>
        <v>13608248.530000001</v>
      </c>
      <c r="AC9" s="117">
        <v>0</v>
      </c>
      <c r="AD9" s="117">
        <v>0</v>
      </c>
      <c r="AE9" s="117">
        <v>0</v>
      </c>
      <c r="AF9" s="117">
        <v>672570</v>
      </c>
      <c r="AG9" s="119">
        <f t="shared" si="2"/>
        <v>672570</v>
      </c>
      <c r="AH9" s="117"/>
      <c r="AI9" s="117">
        <v>0</v>
      </c>
      <c r="AJ9" s="117">
        <v>0</v>
      </c>
      <c r="AK9" s="117">
        <v>0</v>
      </c>
      <c r="AL9" s="117">
        <v>0</v>
      </c>
      <c r="AM9" s="117">
        <f t="shared" si="14"/>
        <v>0</v>
      </c>
      <c r="AN9" s="118">
        <f t="shared" si="4"/>
        <v>13608248.530000001</v>
      </c>
      <c r="AO9" s="118">
        <f>329272.72-AA9</f>
        <v>-10386371.049999999</v>
      </c>
      <c r="AP9" s="118">
        <v>38605521.43</v>
      </c>
      <c r="AQ9" s="118">
        <v>20408918.530000001</v>
      </c>
      <c r="AR9" s="117">
        <f>Q9+R9+M9-U9-V9</f>
        <v>835233.69</v>
      </c>
      <c r="AS9" s="117">
        <f t="shared" si="23"/>
        <v>-11373971.77</v>
      </c>
      <c r="AT9" s="117">
        <f t="shared" si="17"/>
        <v>0</v>
      </c>
      <c r="AU9" s="117">
        <f t="shared" si="18"/>
        <v>-10372202.07</v>
      </c>
      <c r="AV9" s="117">
        <f t="shared" si="19"/>
        <v>835233.69</v>
      </c>
      <c r="AW9" s="117">
        <f t="shared" si="20"/>
        <v>127760</v>
      </c>
      <c r="AX9" s="120">
        <f t="shared" si="10"/>
        <v>-9409208.3800000008</v>
      </c>
      <c r="AY9" s="117">
        <f t="shared" si="21"/>
        <v>-10538738.08</v>
      </c>
      <c r="AZ9" s="121"/>
      <c r="BA9" s="119">
        <v>10715640</v>
      </c>
      <c r="BB9" s="118">
        <v>8361</v>
      </c>
      <c r="BC9" s="118">
        <v>21871</v>
      </c>
      <c r="BD9" s="118">
        <v>5880</v>
      </c>
      <c r="BE9" s="195">
        <v>27751</v>
      </c>
    </row>
    <row r="10" spans="1:69" ht="30" customHeight="1" thickTop="1" thickBot="1" x14ac:dyDescent="0.3">
      <c r="A10" s="193"/>
      <c r="B10" s="328" t="s">
        <v>33</v>
      </c>
      <c r="C10" s="329"/>
      <c r="D10" s="329"/>
      <c r="E10" s="329"/>
      <c r="F10" s="196">
        <f t="shared" ref="F10:AG10" si="24">SUM(F4:F9)</f>
        <v>172750670.09999999</v>
      </c>
      <c r="G10" s="197">
        <f t="shared" si="24"/>
        <v>174041</v>
      </c>
      <c r="H10" s="197">
        <f t="shared" si="24"/>
        <v>79557503.299999997</v>
      </c>
      <c r="I10" s="197">
        <f t="shared" si="24"/>
        <v>56757328.349999994</v>
      </c>
      <c r="J10" s="197">
        <f t="shared" si="24"/>
        <v>136026</v>
      </c>
      <c r="K10" s="197">
        <f t="shared" si="24"/>
        <v>38015</v>
      </c>
      <c r="L10" s="197">
        <f t="shared" si="24"/>
        <v>24872958.930000003</v>
      </c>
      <c r="M10" s="197">
        <f t="shared" si="24"/>
        <v>15925399.02</v>
      </c>
      <c r="N10" s="197">
        <f t="shared" si="24"/>
        <v>8137307.54</v>
      </c>
      <c r="O10" s="197">
        <f t="shared" si="24"/>
        <v>8185822.080000001</v>
      </c>
      <c r="P10" s="197">
        <f t="shared" si="24"/>
        <v>15541523.300000001</v>
      </c>
      <c r="Q10" s="197">
        <f t="shared" si="24"/>
        <v>542571.39999999991</v>
      </c>
      <c r="R10" s="197">
        <f t="shared" si="24"/>
        <v>11937500.129999999</v>
      </c>
      <c r="S10" s="198">
        <f t="shared" si="24"/>
        <v>458010</v>
      </c>
      <c r="T10" s="198">
        <f t="shared" si="24"/>
        <v>55373493.350000001</v>
      </c>
      <c r="U10" s="198">
        <f t="shared" si="24"/>
        <v>17358373.479999997</v>
      </c>
      <c r="V10" s="198">
        <f t="shared" si="24"/>
        <v>0</v>
      </c>
      <c r="W10" s="198">
        <f t="shared" si="24"/>
        <v>13418219.239999998</v>
      </c>
      <c r="X10" s="198">
        <f t="shared" si="24"/>
        <v>11926950.440000001</v>
      </c>
      <c r="Y10" s="198">
        <f t="shared" si="24"/>
        <v>916.12</v>
      </c>
      <c r="Z10" s="198">
        <f t="shared" si="24"/>
        <v>4086774</v>
      </c>
      <c r="AA10" s="198">
        <f t="shared" si="24"/>
        <v>46791233.280000001</v>
      </c>
      <c r="AB10" s="198">
        <f t="shared" si="24"/>
        <v>8806537.7700000014</v>
      </c>
      <c r="AC10" s="198">
        <f t="shared" si="24"/>
        <v>464.64</v>
      </c>
      <c r="AD10" s="198">
        <f t="shared" si="24"/>
        <v>3949.44</v>
      </c>
      <c r="AE10" s="198">
        <f t="shared" si="24"/>
        <v>232.32</v>
      </c>
      <c r="AF10" s="198">
        <f t="shared" si="24"/>
        <v>1155478</v>
      </c>
      <c r="AG10" s="199">
        <f t="shared" si="24"/>
        <v>1160124.3999999999</v>
      </c>
      <c r="AH10" s="198"/>
      <c r="AI10" s="198">
        <f t="shared" ref="AI10:AY10" si="25">SUM(AI4:AI9)</f>
        <v>1832.23</v>
      </c>
      <c r="AJ10" s="198">
        <f t="shared" si="25"/>
        <v>15573.95</v>
      </c>
      <c r="AK10" s="198">
        <f t="shared" si="25"/>
        <v>916.12</v>
      </c>
      <c r="AL10" s="198">
        <f t="shared" si="25"/>
        <v>1724868.71</v>
      </c>
      <c r="AM10" s="198">
        <f t="shared" si="25"/>
        <v>1743191.01</v>
      </c>
      <c r="AN10" s="198">
        <f t="shared" si="25"/>
        <v>8222904.0600000015</v>
      </c>
      <c r="AO10" s="198">
        <f t="shared" si="25"/>
        <v>-19676134.479999997</v>
      </c>
      <c r="AP10" s="198">
        <f t="shared" si="25"/>
        <v>90978741.780000001</v>
      </c>
      <c r="AQ10" s="198">
        <f t="shared" si="25"/>
        <v>49499921.18</v>
      </c>
      <c r="AR10" s="198">
        <f t="shared" si="25"/>
        <v>11047097.07</v>
      </c>
      <c r="AS10" s="198">
        <f t="shared" si="25"/>
        <v>-30554969.199999999</v>
      </c>
      <c r="AT10" s="198">
        <f t="shared" si="25"/>
        <v>-16815802.079999998</v>
      </c>
      <c r="AU10" s="198">
        <f t="shared" si="25"/>
        <v>-5232861.8000000007</v>
      </c>
      <c r="AV10" s="198">
        <f t="shared" si="25"/>
        <v>3993350.6999999997</v>
      </c>
      <c r="AW10" s="198">
        <f t="shared" si="25"/>
        <v>10299271.300000001</v>
      </c>
      <c r="AX10" s="198">
        <f t="shared" si="25"/>
        <v>9059760.1999999974</v>
      </c>
      <c r="AY10" s="198">
        <f t="shared" si="25"/>
        <v>-19507872.129999999</v>
      </c>
      <c r="AZ10" s="200"/>
      <c r="BA10" s="197">
        <f>SUM(BA4:BA9)</f>
        <v>47763530</v>
      </c>
      <c r="BB10" s="197">
        <f>SUM(BB4:BB9)</f>
        <v>25813</v>
      </c>
      <c r="BC10" s="198">
        <f>SUM(BC4:BC9)</f>
        <v>45444</v>
      </c>
      <c r="BD10" s="198">
        <f>SUM(BD4:BD9)</f>
        <v>12202</v>
      </c>
      <c r="BE10" s="201">
        <f>SUM(BE4:BE9)</f>
        <v>57646</v>
      </c>
    </row>
    <row r="11" spans="1:69" x14ac:dyDescent="0.25">
      <c r="A11" s="6"/>
      <c r="B11" s="6"/>
      <c r="C11" s="6"/>
      <c r="D11" s="6"/>
      <c r="E11" s="1"/>
      <c r="I11" s="46"/>
      <c r="J11" s="46"/>
      <c r="K11" s="46"/>
      <c r="L11" s="46"/>
      <c r="M11" s="46"/>
      <c r="N11" s="46"/>
      <c r="O11" s="46"/>
      <c r="P11" s="46"/>
      <c r="Q11" s="313"/>
      <c r="R11" s="313"/>
      <c r="AS11" s="8"/>
      <c r="BA11" s="1"/>
      <c r="BB11" s="1"/>
    </row>
    <row r="12" spans="1:69" x14ac:dyDescent="0.25">
      <c r="O12" s="46"/>
      <c r="R12" t="s">
        <v>70</v>
      </c>
      <c r="AS12" s="7">
        <f>AS10-31500000-17000000-50000000</f>
        <v>-129054969.2</v>
      </c>
    </row>
    <row r="13" spans="1:69" x14ac:dyDescent="0.25">
      <c r="O13" s="46"/>
      <c r="AS13" s="8"/>
    </row>
    <row r="14" spans="1:69" x14ac:dyDescent="0.25">
      <c r="Q14" s="1"/>
      <c r="AS14" s="8"/>
      <c r="BB14" s="171"/>
      <c r="BC14" s="171" t="s">
        <v>70</v>
      </c>
    </row>
    <row r="15" spans="1:69" x14ac:dyDescent="0.25">
      <c r="R15" s="1"/>
      <c r="AR15" s="1"/>
      <c r="AS15" s="7">
        <f>468000000-150000000-17000000-3500000-Q11-M10-50000000-35000000-75000000</f>
        <v>121574600.98000002</v>
      </c>
      <c r="BB15" s="171"/>
    </row>
    <row r="16" spans="1:69" x14ac:dyDescent="0.25">
      <c r="BB16" s="171"/>
    </row>
    <row r="17" spans="55:55" x14ac:dyDescent="0.25">
      <c r="BC17" s="171"/>
    </row>
  </sheetData>
  <mergeCells count="39">
    <mergeCell ref="B10:E10"/>
    <mergeCell ref="BE2:BE3"/>
    <mergeCell ref="AY2:AY3"/>
    <mergeCell ref="AZ2:AZ3"/>
    <mergeCell ref="BA2:BA3"/>
    <mergeCell ref="BC2:BC3"/>
    <mergeCell ref="BD2:BD3"/>
    <mergeCell ref="BB2:BB3"/>
    <mergeCell ref="T2:T3"/>
    <mergeCell ref="O2:O3"/>
    <mergeCell ref="P2:P3"/>
    <mergeCell ref="I2:I3"/>
    <mergeCell ref="S2:S3"/>
    <mergeCell ref="AT2:AW2"/>
    <mergeCell ref="AN2:AN3"/>
    <mergeCell ref="U2:AA2"/>
    <mergeCell ref="A2:A3"/>
    <mergeCell ref="E2:E3"/>
    <mergeCell ref="G2:G3"/>
    <mergeCell ref="B2:B3"/>
    <mergeCell ref="C2:C3"/>
    <mergeCell ref="D2:D3"/>
    <mergeCell ref="F2:F3"/>
    <mergeCell ref="Q11:R11"/>
    <mergeCell ref="Q2:R3"/>
    <mergeCell ref="H2:H3"/>
    <mergeCell ref="K2:K3"/>
    <mergeCell ref="L2:L3"/>
    <mergeCell ref="M2:M3"/>
    <mergeCell ref="N2:N3"/>
    <mergeCell ref="J2:J3"/>
    <mergeCell ref="AB2:AB3"/>
    <mergeCell ref="AC2:AG2"/>
    <mergeCell ref="AH2:AM2"/>
    <mergeCell ref="AS2:AS3"/>
    <mergeCell ref="AP2:AP3"/>
    <mergeCell ref="AQ2:AQ3"/>
    <mergeCell ref="AO2:AO3"/>
    <mergeCell ref="AR2:AR3"/>
  </mergeCells>
  <pageMargins left="0.70866141732283472" right="0.70866141732283472" top="0.78740157480314965" bottom="0.78740157480314965" header="0.31496062992125984" footer="0.31496062992125984"/>
  <pageSetup paperSize="9" scale="78" firstPageNumber="105" fitToHeight="0" orientation="landscape" useFirstPageNumber="1" r:id="rId1"/>
  <headerFooter>
    <oddFooter>&amp;L&amp;"-,Kurzíva"Zastupitelstvo Olomouckého kraje 12-12-2014
6.  - Rozpočet Olomouckého kraje 2015 - návrh rozpočtu
Příloha č. 7: Financování investičních akcí 5. až 12. alokace &amp;R&amp;"-,Kurzíva"Strana &amp;P (celkem 127)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B1" workbookViewId="0">
      <pane ySplit="3" topLeftCell="A4" activePane="bottomLeft" state="frozen"/>
      <selection activeCell="D17" sqref="D17"/>
      <selection pane="bottomLeft" activeCell="O24" sqref="O24"/>
    </sheetView>
  </sheetViews>
  <sheetFormatPr defaultRowHeight="15" x14ac:dyDescent="0.25"/>
  <cols>
    <col min="1" max="1" width="13.5703125" hidden="1" customWidth="1"/>
    <col min="2" max="2" width="6.7109375" customWidth="1"/>
    <col min="3" max="3" width="8.28515625" hidden="1" customWidth="1"/>
    <col min="4" max="4" width="9.7109375" customWidth="1"/>
    <col min="5" max="5" width="32.5703125" customWidth="1"/>
    <col min="6" max="6" width="16.140625" customWidth="1"/>
    <col min="7" max="7" width="15.7109375" customWidth="1"/>
    <col min="8" max="8" width="15.42578125" customWidth="1"/>
    <col min="9" max="11" width="17.140625" hidden="1" customWidth="1"/>
    <col min="12" max="12" width="16.5703125" customWidth="1"/>
    <col min="13" max="13" width="19.140625" hidden="1" customWidth="1"/>
    <col min="14" max="15" width="19.140625" customWidth="1"/>
    <col min="16" max="16" width="15.5703125" customWidth="1"/>
    <col min="17" max="17" width="12.42578125" bestFit="1" customWidth="1"/>
  </cols>
  <sheetData>
    <row r="1" spans="1:18" ht="19.5" thickBot="1" x14ac:dyDescent="0.35">
      <c r="A1" s="184"/>
      <c r="B1" s="184" t="s">
        <v>113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227" t="s">
        <v>150</v>
      </c>
    </row>
    <row r="2" spans="1:18" ht="19.5" customHeight="1" x14ac:dyDescent="0.25">
      <c r="A2" s="349" t="s">
        <v>0</v>
      </c>
      <c r="B2" s="355" t="s">
        <v>130</v>
      </c>
      <c r="C2" s="357" t="s">
        <v>131</v>
      </c>
      <c r="D2" s="359" t="s">
        <v>149</v>
      </c>
      <c r="E2" s="351" t="s">
        <v>1</v>
      </c>
      <c r="F2" s="353" t="s">
        <v>145</v>
      </c>
      <c r="G2" s="280" t="s">
        <v>133</v>
      </c>
      <c r="H2" s="343" t="s">
        <v>2</v>
      </c>
      <c r="I2" s="347"/>
      <c r="J2" s="344"/>
      <c r="K2" s="343" t="s">
        <v>123</v>
      </c>
      <c r="L2" s="343" t="s">
        <v>136</v>
      </c>
      <c r="M2" s="344"/>
      <c r="N2" s="280" t="s">
        <v>120</v>
      </c>
      <c r="O2" s="347" t="s">
        <v>144</v>
      </c>
      <c r="P2" s="280" t="s">
        <v>138</v>
      </c>
    </row>
    <row r="3" spans="1:18" ht="33" customHeight="1" thickBot="1" x14ac:dyDescent="0.3">
      <c r="A3" s="350"/>
      <c r="B3" s="356"/>
      <c r="C3" s="358"/>
      <c r="D3" s="360"/>
      <c r="E3" s="352"/>
      <c r="F3" s="354"/>
      <c r="G3" s="327"/>
      <c r="H3" s="345"/>
      <c r="I3" s="348"/>
      <c r="J3" s="346"/>
      <c r="K3" s="345"/>
      <c r="L3" s="345"/>
      <c r="M3" s="346"/>
      <c r="N3" s="327"/>
      <c r="O3" s="348"/>
      <c r="P3" s="327"/>
    </row>
    <row r="4" spans="1:18" s="78" customFormat="1" ht="43.5" customHeight="1" x14ac:dyDescent="0.25">
      <c r="A4" s="185">
        <v>60002100407</v>
      </c>
      <c r="B4" s="248">
        <v>59</v>
      </c>
      <c r="C4" s="249">
        <v>4357</v>
      </c>
      <c r="D4" s="249">
        <v>61</v>
      </c>
      <c r="E4" s="250" t="s">
        <v>117</v>
      </c>
      <c r="F4" s="251">
        <v>19170</v>
      </c>
      <c r="G4" s="251">
        <v>13659</v>
      </c>
      <c r="H4" s="251">
        <v>5512</v>
      </c>
      <c r="I4" s="251">
        <v>4552508.12</v>
      </c>
      <c r="J4" s="251">
        <f>459000+293+500000</f>
        <v>959293</v>
      </c>
      <c r="K4" s="251">
        <v>12003300</v>
      </c>
      <c r="L4" s="252">
        <v>221</v>
      </c>
      <c r="M4" s="251">
        <f>721200.55+500000</f>
        <v>1221200.55</v>
      </c>
      <c r="N4" s="251">
        <v>1417</v>
      </c>
      <c r="O4" s="251">
        <v>5291</v>
      </c>
      <c r="P4" s="253">
        <v>6708</v>
      </c>
    </row>
    <row r="5" spans="1:18" s="78" customFormat="1" ht="31.5" x14ac:dyDescent="0.25">
      <c r="A5" s="204">
        <v>60002100790</v>
      </c>
      <c r="B5" s="124">
        <v>59</v>
      </c>
      <c r="C5" s="125">
        <v>4357</v>
      </c>
      <c r="D5" s="125">
        <v>61</v>
      </c>
      <c r="E5" s="126" t="s">
        <v>124</v>
      </c>
      <c r="F5" s="138">
        <v>27357</v>
      </c>
      <c r="G5" s="138">
        <v>18883</v>
      </c>
      <c r="H5" s="138">
        <v>8474</v>
      </c>
      <c r="I5" s="138">
        <f t="shared" ref="I5:I20" si="0">H5-J5</f>
        <v>-2171631</v>
      </c>
      <c r="J5" s="138">
        <v>2180105</v>
      </c>
      <c r="K5" s="138">
        <v>8025000</v>
      </c>
      <c r="L5" s="137">
        <v>1125</v>
      </c>
      <c r="M5" s="103">
        <f>6300+80465+136704.19+27866.3+97000+11434.5+1125000+40230.01</f>
        <v>1525000</v>
      </c>
      <c r="N5" s="107">
        <v>3909</v>
      </c>
      <c r="O5" s="136">
        <v>7349</v>
      </c>
      <c r="P5" s="205">
        <v>11258</v>
      </c>
    </row>
    <row r="6" spans="1:18" s="78" customFormat="1" ht="31.5" x14ac:dyDescent="0.25">
      <c r="A6" s="186">
        <v>60004100041</v>
      </c>
      <c r="B6" s="83">
        <v>50</v>
      </c>
      <c r="C6" s="96">
        <v>2212</v>
      </c>
      <c r="D6" s="96">
        <v>61</v>
      </c>
      <c r="E6" s="66" t="s">
        <v>19</v>
      </c>
      <c r="F6" s="103">
        <v>29923</v>
      </c>
      <c r="G6" s="139">
        <v>24041</v>
      </c>
      <c r="H6" s="139">
        <v>5882</v>
      </c>
      <c r="I6" s="139">
        <f>H6-J6</f>
        <v>-637638</v>
      </c>
      <c r="J6" s="139">
        <v>643520</v>
      </c>
      <c r="K6" s="139">
        <v>1032910</v>
      </c>
      <c r="L6" s="137">
        <v>0</v>
      </c>
      <c r="M6" s="103">
        <f>23520+54000+36000+996000</f>
        <v>1109520</v>
      </c>
      <c r="N6" s="103">
        <v>3041</v>
      </c>
      <c r="O6" s="136">
        <v>5882</v>
      </c>
      <c r="P6" s="104">
        <v>8923</v>
      </c>
    </row>
    <row r="7" spans="1:18" s="78" customFormat="1" ht="63" x14ac:dyDescent="0.25">
      <c r="A7" s="204">
        <v>60004100798</v>
      </c>
      <c r="B7" s="124">
        <v>50</v>
      </c>
      <c r="C7" s="125">
        <v>2212</v>
      </c>
      <c r="D7" s="125">
        <v>61</v>
      </c>
      <c r="E7" s="66" t="s">
        <v>20</v>
      </c>
      <c r="F7" s="139">
        <v>19118</v>
      </c>
      <c r="G7" s="139">
        <v>12158</v>
      </c>
      <c r="H7" s="139">
        <v>6960</v>
      </c>
      <c r="I7" s="139">
        <v>2145527.56</v>
      </c>
      <c r="J7" s="139">
        <v>4814536.7300000004</v>
      </c>
      <c r="K7" s="139">
        <v>9194000</v>
      </c>
      <c r="L7" s="137">
        <v>1700</v>
      </c>
      <c r="M7" s="103">
        <f>105935+168190+41503+96800+465800+30250+15125+1700000+996000</f>
        <v>3619603</v>
      </c>
      <c r="N7" s="103">
        <v>2621</v>
      </c>
      <c r="O7" s="136">
        <v>5260</v>
      </c>
      <c r="P7" s="104">
        <v>7881</v>
      </c>
    </row>
    <row r="8" spans="1:18" s="78" customFormat="1" ht="47.25" x14ac:dyDescent="0.25">
      <c r="A8" s="186">
        <v>60002100823</v>
      </c>
      <c r="B8" s="83">
        <v>59</v>
      </c>
      <c r="C8" s="96">
        <v>4357</v>
      </c>
      <c r="D8" s="96">
        <v>61</v>
      </c>
      <c r="E8" s="66" t="s">
        <v>21</v>
      </c>
      <c r="F8" s="139">
        <v>32236</v>
      </c>
      <c r="G8" s="139">
        <v>27114</v>
      </c>
      <c r="H8" s="136">
        <v>5122</v>
      </c>
      <c r="I8" s="139">
        <v>4784854.5</v>
      </c>
      <c r="J8" s="139">
        <v>337300</v>
      </c>
      <c r="K8" s="139">
        <v>5705000</v>
      </c>
      <c r="L8" s="137">
        <v>102</v>
      </c>
      <c r="M8" s="103">
        <f>48400+5500+48400</f>
        <v>102300</v>
      </c>
      <c r="N8" s="103">
        <v>2776</v>
      </c>
      <c r="O8" s="136">
        <v>5020</v>
      </c>
      <c r="P8" s="104">
        <v>7796</v>
      </c>
      <c r="Q8" s="93"/>
      <c r="R8" s="127"/>
    </row>
    <row r="9" spans="1:18" ht="47.25" x14ac:dyDescent="0.25">
      <c r="A9" s="186">
        <v>60002100416</v>
      </c>
      <c r="B9" s="83">
        <v>59</v>
      </c>
      <c r="C9" s="96">
        <v>4357</v>
      </c>
      <c r="D9" s="96">
        <v>61</v>
      </c>
      <c r="E9" s="66" t="s">
        <v>22</v>
      </c>
      <c r="F9" s="139">
        <v>32810</v>
      </c>
      <c r="G9" s="139">
        <v>26389</v>
      </c>
      <c r="H9" s="139">
        <v>6421</v>
      </c>
      <c r="I9" s="139">
        <v>4656860.05</v>
      </c>
      <c r="J9" s="139">
        <f>354800+1314981.33+94095.3</f>
        <v>1763876.6300000001</v>
      </c>
      <c r="K9" s="139">
        <v>6460000</v>
      </c>
      <c r="L9" s="137">
        <v>1222</v>
      </c>
      <c r="M9" s="103">
        <f>96800+825000+300000</f>
        <v>1221800</v>
      </c>
      <c r="N9" s="103">
        <v>5949</v>
      </c>
      <c r="O9" s="136">
        <v>5199</v>
      </c>
      <c r="P9" s="104">
        <v>11148</v>
      </c>
    </row>
    <row r="10" spans="1:18" ht="31.5" x14ac:dyDescent="0.25">
      <c r="A10" s="186">
        <v>60001100815</v>
      </c>
      <c r="B10" s="83">
        <v>59</v>
      </c>
      <c r="C10" s="96">
        <v>3122</v>
      </c>
      <c r="D10" s="96">
        <v>61</v>
      </c>
      <c r="E10" s="123" t="s">
        <v>23</v>
      </c>
      <c r="F10" s="139">
        <v>8488</v>
      </c>
      <c r="G10" s="139">
        <v>7215</v>
      </c>
      <c r="H10" s="139">
        <v>1273</v>
      </c>
      <c r="I10" s="139">
        <f t="shared" si="0"/>
        <v>1273</v>
      </c>
      <c r="J10" s="139">
        <v>0</v>
      </c>
      <c r="K10" s="139">
        <v>4053430</v>
      </c>
      <c r="L10" s="151">
        <v>605</v>
      </c>
      <c r="M10" s="173">
        <v>4053428.26</v>
      </c>
      <c r="N10" s="112">
        <v>3787</v>
      </c>
      <c r="O10" s="136">
        <v>668</v>
      </c>
      <c r="P10" s="104">
        <v>4455</v>
      </c>
    </row>
    <row r="11" spans="1:18" ht="42.75" customHeight="1" x14ac:dyDescent="0.25">
      <c r="A11" s="186">
        <v>60004100831</v>
      </c>
      <c r="B11" s="83">
        <v>50</v>
      </c>
      <c r="C11" s="96">
        <v>2212</v>
      </c>
      <c r="D11" s="96">
        <v>61</v>
      </c>
      <c r="E11" s="66" t="s">
        <v>24</v>
      </c>
      <c r="F11" s="139">
        <v>53566</v>
      </c>
      <c r="G11" s="139">
        <v>41690</v>
      </c>
      <c r="H11" s="139">
        <v>11876</v>
      </c>
      <c r="I11" s="139">
        <v>7356991.5700000003</v>
      </c>
      <c r="J11" s="139">
        <v>4519293.43</v>
      </c>
      <c r="K11" s="139">
        <v>19617940</v>
      </c>
      <c r="L11" s="140">
        <v>2179</v>
      </c>
      <c r="M11" s="103">
        <f>133281+12302374.44*0.15+300000</f>
        <v>2278637.1660000002</v>
      </c>
      <c r="N11" s="103">
        <v>10806</v>
      </c>
      <c r="O11" s="136">
        <v>9698</v>
      </c>
      <c r="P11" s="104">
        <v>20504</v>
      </c>
    </row>
    <row r="12" spans="1:18" ht="29.25" customHeight="1" x14ac:dyDescent="0.25">
      <c r="A12" s="186">
        <v>60004100676</v>
      </c>
      <c r="B12" s="83">
        <v>50</v>
      </c>
      <c r="C12" s="96">
        <v>2212</v>
      </c>
      <c r="D12" s="96">
        <v>61</v>
      </c>
      <c r="E12" s="66" t="s">
        <v>25</v>
      </c>
      <c r="F12" s="139">
        <v>37551</v>
      </c>
      <c r="G12" s="139">
        <v>30816</v>
      </c>
      <c r="H12" s="139">
        <v>6735</v>
      </c>
      <c r="I12" s="139">
        <f>35197874*0.15*1.03</f>
        <v>5438071.5329999998</v>
      </c>
      <c r="J12" s="139">
        <v>1297338.68</v>
      </c>
      <c r="K12" s="139">
        <v>12758000</v>
      </c>
      <c r="L12" s="140">
        <v>4260</v>
      </c>
      <c r="M12" s="103">
        <f>330225.86+300000+18534128.86*0.15+1000000</f>
        <v>4410345.1889999993</v>
      </c>
      <c r="N12" s="103">
        <v>8350</v>
      </c>
      <c r="O12" s="136">
        <v>2475</v>
      </c>
      <c r="P12" s="104">
        <v>10825</v>
      </c>
      <c r="Q12" s="1"/>
    </row>
    <row r="13" spans="1:18" ht="36" customHeight="1" x14ac:dyDescent="0.25">
      <c r="A13" s="204">
        <v>60001100830</v>
      </c>
      <c r="B13" s="124">
        <v>59</v>
      </c>
      <c r="C13" s="125">
        <v>3122</v>
      </c>
      <c r="D13" s="125">
        <v>61</v>
      </c>
      <c r="E13" s="66" t="s">
        <v>26</v>
      </c>
      <c r="F13" s="139">
        <v>28217</v>
      </c>
      <c r="G13" s="139">
        <v>16594</v>
      </c>
      <c r="H13" s="139">
        <v>11623</v>
      </c>
      <c r="I13" s="139">
        <v>2928368.25</v>
      </c>
      <c r="J13" s="139">
        <f>H13-I13</f>
        <v>-2916745.25</v>
      </c>
      <c r="K13" s="139">
        <v>4108000</v>
      </c>
      <c r="L13" s="140">
        <v>0</v>
      </c>
      <c r="M13" s="103">
        <f>747175</f>
        <v>747175</v>
      </c>
      <c r="N13" s="103">
        <v>2822</v>
      </c>
      <c r="O13" s="136">
        <v>11623</v>
      </c>
      <c r="P13" s="104">
        <v>14445</v>
      </c>
      <c r="Q13" s="1"/>
    </row>
    <row r="14" spans="1:18" ht="25.5" customHeight="1" x14ac:dyDescent="0.25">
      <c r="A14" s="186">
        <v>60001100829</v>
      </c>
      <c r="B14" s="83">
        <v>59</v>
      </c>
      <c r="C14" s="96">
        <v>3122</v>
      </c>
      <c r="D14" s="96">
        <v>61</v>
      </c>
      <c r="E14" s="66" t="s">
        <v>27</v>
      </c>
      <c r="F14" s="139">
        <v>24104</v>
      </c>
      <c r="G14" s="139">
        <v>10387</v>
      </c>
      <c r="H14" s="139">
        <v>13717</v>
      </c>
      <c r="I14" s="139">
        <f t="shared" si="0"/>
        <v>-11870340.369999999</v>
      </c>
      <c r="J14" s="139">
        <v>11884057.369999999</v>
      </c>
      <c r="K14" s="139">
        <v>2715730</v>
      </c>
      <c r="L14" s="140">
        <v>0</v>
      </c>
      <c r="M14" s="139">
        <f>625310.5</f>
        <v>625310.5</v>
      </c>
      <c r="N14" s="103">
        <v>1039</v>
      </c>
      <c r="O14" s="136">
        <v>13717</v>
      </c>
      <c r="P14" s="104">
        <v>14756</v>
      </c>
      <c r="Q14" s="1"/>
    </row>
    <row r="15" spans="1:18" ht="45.75" customHeight="1" x14ac:dyDescent="0.25">
      <c r="A15" s="186">
        <v>60004100032</v>
      </c>
      <c r="B15" s="83">
        <v>50</v>
      </c>
      <c r="C15" s="96">
        <v>2212</v>
      </c>
      <c r="D15" s="96">
        <v>61</v>
      </c>
      <c r="E15" s="66" t="s">
        <v>28</v>
      </c>
      <c r="F15" s="139">
        <v>78546</v>
      </c>
      <c r="G15" s="139">
        <v>66049</v>
      </c>
      <c r="H15" s="139">
        <v>12498</v>
      </c>
      <c r="I15" s="139">
        <f>H15-J15</f>
        <v>-829402</v>
      </c>
      <c r="J15" s="139">
        <v>841900</v>
      </c>
      <c r="K15" s="139">
        <v>509460</v>
      </c>
      <c r="L15" s="140">
        <v>0</v>
      </c>
      <c r="M15" s="103">
        <f>509460</f>
        <v>509460</v>
      </c>
      <c r="N15" s="103">
        <v>6605</v>
      </c>
      <c r="O15" s="136">
        <v>12498</v>
      </c>
      <c r="P15" s="104">
        <v>19103</v>
      </c>
      <c r="Q15" s="1"/>
    </row>
    <row r="16" spans="1:18" s="38" customFormat="1" ht="31.5" x14ac:dyDescent="0.25">
      <c r="A16" s="204">
        <v>60004100106</v>
      </c>
      <c r="B16" s="124">
        <v>50</v>
      </c>
      <c r="C16" s="125">
        <v>2212</v>
      </c>
      <c r="D16" s="125">
        <v>61</v>
      </c>
      <c r="E16" s="126" t="s">
        <v>29</v>
      </c>
      <c r="F16" s="138">
        <v>36290</v>
      </c>
      <c r="G16" s="138">
        <v>25632</v>
      </c>
      <c r="H16" s="138">
        <v>10657</v>
      </c>
      <c r="I16" s="138">
        <v>4523355.58</v>
      </c>
      <c r="J16" s="138">
        <f>H16-I16</f>
        <v>-4512698.58</v>
      </c>
      <c r="K16" s="138">
        <v>11438000</v>
      </c>
      <c r="L16" s="140">
        <v>4989</v>
      </c>
      <c r="M16" s="103">
        <f>4000000+1700+48400+36300+102850+30250+30250+661648+239580+37752</f>
        <v>5188730</v>
      </c>
      <c r="N16" s="107">
        <v>2563</v>
      </c>
      <c r="O16" s="136">
        <v>5669</v>
      </c>
      <c r="P16" s="205">
        <v>8232</v>
      </c>
    </row>
    <row r="17" spans="1:17" ht="31.5" x14ac:dyDescent="0.25">
      <c r="A17" s="186">
        <v>60004100679</v>
      </c>
      <c r="B17" s="83">
        <v>50</v>
      </c>
      <c r="C17" s="96">
        <v>2212</v>
      </c>
      <c r="D17" s="96">
        <v>61</v>
      </c>
      <c r="E17" s="66" t="s">
        <v>30</v>
      </c>
      <c r="F17" s="139">
        <v>29550</v>
      </c>
      <c r="G17" s="139">
        <v>22069</v>
      </c>
      <c r="H17" s="139">
        <v>7481</v>
      </c>
      <c r="I17" s="139">
        <v>3894599.55</v>
      </c>
      <c r="J17" s="139">
        <f>2285903.3+1300000</f>
        <v>3585903.3</v>
      </c>
      <c r="K17" s="139">
        <v>8031000</v>
      </c>
      <c r="L17" s="140">
        <v>3000</v>
      </c>
      <c r="M17" s="103">
        <f>59290+281379+92081+43560+48400+6655+1744+30250+30250+6655+3000000</f>
        <v>3600264</v>
      </c>
      <c r="N17" s="103">
        <v>2207</v>
      </c>
      <c r="O17" s="136">
        <v>4480</v>
      </c>
      <c r="P17" s="104">
        <v>6687</v>
      </c>
      <c r="Q17" s="1"/>
    </row>
    <row r="18" spans="1:17" ht="24" customHeight="1" x14ac:dyDescent="0.25">
      <c r="A18" s="186">
        <v>60004100677</v>
      </c>
      <c r="B18" s="83">
        <v>50</v>
      </c>
      <c r="C18" s="96">
        <v>2212</v>
      </c>
      <c r="D18" s="96">
        <v>61</v>
      </c>
      <c r="E18" s="66" t="s">
        <v>31</v>
      </c>
      <c r="F18" s="103">
        <v>29484</v>
      </c>
      <c r="G18" s="139">
        <v>23752</v>
      </c>
      <c r="H18" s="139">
        <v>5732</v>
      </c>
      <c r="I18" s="139">
        <v>4191440</v>
      </c>
      <c r="J18" s="139">
        <f>H18-I18</f>
        <v>-4185708</v>
      </c>
      <c r="K18" s="139">
        <v>670600</v>
      </c>
      <c r="L18" s="140">
        <v>334</v>
      </c>
      <c r="M18" s="103">
        <f>214000+5445+1974.6+52938+36300+23342.4</f>
        <v>334000</v>
      </c>
      <c r="N18" s="103">
        <v>7125</v>
      </c>
      <c r="O18" s="136">
        <v>5398</v>
      </c>
      <c r="P18" s="104">
        <v>12523</v>
      </c>
      <c r="Q18" s="1"/>
    </row>
    <row r="19" spans="1:17" ht="27" customHeight="1" x14ac:dyDescent="0.25">
      <c r="A19" s="186">
        <v>60004100678</v>
      </c>
      <c r="B19" s="83">
        <v>50</v>
      </c>
      <c r="C19" s="96">
        <v>2212</v>
      </c>
      <c r="D19" s="96">
        <v>61</v>
      </c>
      <c r="E19" s="66" t="s">
        <v>32</v>
      </c>
      <c r="F19" s="139">
        <v>50701</v>
      </c>
      <c r="G19" s="139">
        <v>42295</v>
      </c>
      <c r="H19" s="139">
        <v>8406</v>
      </c>
      <c r="I19" s="139">
        <f>8363840.18-900000</f>
        <v>7463840.1799999997</v>
      </c>
      <c r="J19" s="139">
        <v>941685.2</v>
      </c>
      <c r="K19" s="139">
        <v>13286000</v>
      </c>
      <c r="L19" s="140">
        <v>3025</v>
      </c>
      <c r="M19" s="103">
        <f>299000+3900+48400+43560+102850+113135+100000+209088+28798+102850+2112561+30250+30250</f>
        <v>3224642</v>
      </c>
      <c r="N19" s="103">
        <v>11482</v>
      </c>
      <c r="O19" s="136">
        <v>5381</v>
      </c>
      <c r="P19" s="104">
        <v>16863</v>
      </c>
    </row>
    <row r="20" spans="1:17" ht="33.75" customHeight="1" x14ac:dyDescent="0.25">
      <c r="A20" s="204">
        <v>60005100832</v>
      </c>
      <c r="B20" s="124">
        <v>59</v>
      </c>
      <c r="C20" s="125">
        <v>3522</v>
      </c>
      <c r="D20" s="125">
        <v>61</v>
      </c>
      <c r="E20" s="66" t="s">
        <v>153</v>
      </c>
      <c r="F20" s="139">
        <v>46501</v>
      </c>
      <c r="G20" s="139">
        <v>29995</v>
      </c>
      <c r="H20" s="139">
        <v>16506</v>
      </c>
      <c r="I20" s="139">
        <f t="shared" si="0"/>
        <v>-11195702</v>
      </c>
      <c r="J20" s="139">
        <v>11212208</v>
      </c>
      <c r="K20" s="139">
        <v>797750</v>
      </c>
      <c r="L20" s="140">
        <v>0</v>
      </c>
      <c r="M20" s="103">
        <v>797753</v>
      </c>
      <c r="N20" s="103">
        <v>2999</v>
      </c>
      <c r="O20" s="136">
        <v>16505</v>
      </c>
      <c r="P20" s="104">
        <v>19504</v>
      </c>
      <c r="Q20" s="1"/>
    </row>
    <row r="21" spans="1:17" ht="48" thickBot="1" x14ac:dyDescent="0.3">
      <c r="A21" s="187" t="s">
        <v>146</v>
      </c>
      <c r="B21" s="341"/>
      <c r="C21" s="342"/>
      <c r="D21" s="342"/>
      <c r="E21" s="82" t="s">
        <v>154</v>
      </c>
      <c r="F21" s="105">
        <v>53117</v>
      </c>
      <c r="G21" s="105">
        <v>36723</v>
      </c>
      <c r="H21" s="141">
        <v>16394</v>
      </c>
      <c r="I21" s="141">
        <f>H21-J21</f>
        <v>-9897118</v>
      </c>
      <c r="J21" s="141">
        <v>9913512</v>
      </c>
      <c r="K21" s="141">
        <v>1050000</v>
      </c>
      <c r="L21" s="142">
        <v>0</v>
      </c>
      <c r="M21" s="105">
        <v>5950000</v>
      </c>
      <c r="N21" s="105">
        <v>30773</v>
      </c>
      <c r="O21" s="143">
        <v>16394</v>
      </c>
      <c r="P21" s="106">
        <v>47167</v>
      </c>
    </row>
    <row r="22" spans="1:17" ht="27" customHeight="1" thickTop="1" thickBot="1" x14ac:dyDescent="0.3">
      <c r="B22" s="339" t="s">
        <v>17</v>
      </c>
      <c r="C22" s="340"/>
      <c r="D22" s="340"/>
      <c r="E22" s="340"/>
      <c r="F22" s="206">
        <f t="shared" ref="F22:L22" si="1">SUM(F4:F21)</f>
        <v>636729</v>
      </c>
      <c r="G22" s="206">
        <f t="shared" si="1"/>
        <v>475461</v>
      </c>
      <c r="H22" s="206">
        <f t="shared" si="1"/>
        <v>161269</v>
      </c>
      <c r="I22" s="206">
        <f t="shared" si="1"/>
        <v>15335858.523000002</v>
      </c>
      <c r="J22" s="206">
        <f t="shared" si="1"/>
        <v>43279377.509999998</v>
      </c>
      <c r="K22" s="206">
        <f t="shared" si="1"/>
        <v>121456120</v>
      </c>
      <c r="L22" s="206">
        <f t="shared" si="1"/>
        <v>22762</v>
      </c>
      <c r="M22" s="206">
        <f>SUM(M5:M21)</f>
        <v>39297968.114999995</v>
      </c>
      <c r="N22" s="206">
        <f>SUM(N4:N21)</f>
        <v>110271</v>
      </c>
      <c r="O22" s="206">
        <f>SUM(O4:O21)</f>
        <v>138507</v>
      </c>
      <c r="P22" s="207">
        <f>SUM(P4:P21)</f>
        <v>248778</v>
      </c>
    </row>
    <row r="23" spans="1:17" ht="15.75" x14ac:dyDescent="0.25">
      <c r="A23" s="76"/>
      <c r="B23" s="76"/>
      <c r="C23" s="76"/>
      <c r="D23" s="76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7" ht="17.25" x14ac:dyDescent="0.25">
      <c r="A24" s="72" t="s">
        <v>119</v>
      </c>
      <c r="B24" s="72"/>
      <c r="C24" s="72"/>
      <c r="D24" s="72"/>
      <c r="E24" s="38"/>
      <c r="F24" s="38"/>
      <c r="G24" s="38"/>
      <c r="H24" s="1"/>
      <c r="I24" s="1" t="e">
        <f>I32</f>
        <v>#REF!</v>
      </c>
    </row>
    <row r="25" spans="1:17" ht="17.25" x14ac:dyDescent="0.25">
      <c r="A25" s="40" t="s">
        <v>121</v>
      </c>
      <c r="B25" s="40"/>
      <c r="C25" s="40"/>
      <c r="D25" s="40"/>
      <c r="H25" s="73"/>
      <c r="L25" s="36"/>
      <c r="M25" s="1"/>
    </row>
    <row r="26" spans="1:17" ht="17.25" x14ac:dyDescent="0.25">
      <c r="A26" s="40" t="s">
        <v>147</v>
      </c>
      <c r="B26" s="40"/>
      <c r="C26" s="40"/>
      <c r="D26" s="40"/>
      <c r="E26" s="1"/>
      <c r="H26" s="73"/>
      <c r="L26" s="171"/>
    </row>
    <row r="27" spans="1:17" x14ac:dyDescent="0.25">
      <c r="E27" s="1"/>
      <c r="G27" s="1"/>
      <c r="H27" s="73"/>
      <c r="N27" s="171"/>
    </row>
    <row r="28" spans="1:17" x14ac:dyDescent="0.25">
      <c r="H28" s="1"/>
    </row>
    <row r="29" spans="1:17" x14ac:dyDescent="0.25">
      <c r="H29" s="1"/>
    </row>
    <row r="32" spans="1:17" x14ac:dyDescent="0.25">
      <c r="F32" s="1"/>
      <c r="I32" s="1" t="e">
        <f>L25+'11 Alokace'!#REF!+'5 - 10 Alokace'!#REF!</f>
        <v>#REF!</v>
      </c>
    </row>
  </sheetData>
  <mergeCells count="15">
    <mergeCell ref="N2:N3"/>
    <mergeCell ref="O2:O3"/>
    <mergeCell ref="P2:P3"/>
    <mergeCell ref="K2:K3"/>
    <mergeCell ref="G2:G3"/>
    <mergeCell ref="B22:E22"/>
    <mergeCell ref="B21:D21"/>
    <mergeCell ref="L2:M3"/>
    <mergeCell ref="H2:J3"/>
    <mergeCell ref="A2:A3"/>
    <mergeCell ref="E2:E3"/>
    <mergeCell ref="F2:F3"/>
    <mergeCell ref="B2:B3"/>
    <mergeCell ref="C2:C3"/>
    <mergeCell ref="D2:D3"/>
  </mergeCells>
  <pageMargins left="0.70866141732283472" right="0.70866141732283472" top="0.78740157480314965" bottom="0.78740157480314965" header="0.31496062992125984" footer="0.31496062992125984"/>
  <pageSetup paperSize="9" scale="78" firstPageNumber="106" fitToHeight="0" orientation="landscape" useFirstPageNumber="1" r:id="rId1"/>
  <headerFooter>
    <oddFooter>&amp;L&amp;"-,Kurzíva"Zastupitelstvo Olomouckého kraje 12-12-2014
6.  - Rozpočet Olomouckého kraje 2015 - návrh rozpočtu
Příloha č. 7: Financování investičních akcí 5. až 12. alokace &amp;R&amp;"-,Kurzíva"Strana &amp;P (celkem 127)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B1" workbookViewId="0">
      <selection activeCell="O39" sqref="O39"/>
    </sheetView>
  </sheetViews>
  <sheetFormatPr defaultRowHeight="15" x14ac:dyDescent="0.25"/>
  <cols>
    <col min="1" max="1" width="13.7109375" hidden="1" customWidth="1"/>
    <col min="2" max="2" width="6.7109375" customWidth="1"/>
    <col min="3" max="3" width="9.28515625" hidden="1" customWidth="1"/>
    <col min="4" max="4" width="9.7109375" customWidth="1"/>
    <col min="5" max="5" width="37.85546875" style="39" customWidth="1"/>
    <col min="6" max="6" width="16.85546875" customWidth="1"/>
    <col min="7" max="7" width="17.5703125" customWidth="1"/>
    <col min="8" max="8" width="15.140625" customWidth="1"/>
    <col min="9" max="9" width="16.140625" hidden="1" customWidth="1"/>
    <col min="10" max="11" width="15.42578125" hidden="1" customWidth="1"/>
    <col min="12" max="12" width="15.42578125" customWidth="1"/>
    <col min="13" max="13" width="15.42578125" hidden="1" customWidth="1"/>
    <col min="14" max="14" width="0.85546875" hidden="1" customWidth="1"/>
    <col min="15" max="16" width="15.7109375" customWidth="1"/>
    <col min="17" max="17" width="16.42578125" customWidth="1"/>
    <col min="18" max="18" width="12.42578125" bestFit="1" customWidth="1"/>
    <col min="19" max="19" width="10" bestFit="1" customWidth="1"/>
  </cols>
  <sheetData>
    <row r="1" spans="1:19" ht="19.5" thickBot="1" x14ac:dyDescent="0.35">
      <c r="A1" s="184"/>
      <c r="B1" s="184" t="s">
        <v>105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227" t="s">
        <v>150</v>
      </c>
    </row>
    <row r="2" spans="1:19" ht="15" customHeight="1" x14ac:dyDescent="0.25">
      <c r="A2" s="385" t="s">
        <v>0</v>
      </c>
      <c r="B2" s="393" t="s">
        <v>130</v>
      </c>
      <c r="C2" s="395" t="s">
        <v>131</v>
      </c>
      <c r="D2" s="374" t="s">
        <v>149</v>
      </c>
      <c r="E2" s="387" t="s">
        <v>1</v>
      </c>
      <c r="F2" s="389" t="s">
        <v>128</v>
      </c>
      <c r="G2" s="374" t="s">
        <v>133</v>
      </c>
      <c r="H2" s="380" t="s">
        <v>2</v>
      </c>
      <c r="I2" s="305"/>
      <c r="J2" s="376"/>
      <c r="K2" s="380" t="s">
        <v>123</v>
      </c>
      <c r="L2" s="374" t="s">
        <v>136</v>
      </c>
      <c r="M2" s="380" t="s">
        <v>148</v>
      </c>
      <c r="N2" s="383" t="s">
        <v>106</v>
      </c>
      <c r="O2" s="378" t="s">
        <v>120</v>
      </c>
      <c r="P2" s="374" t="s">
        <v>144</v>
      </c>
      <c r="Q2" s="376" t="s">
        <v>138</v>
      </c>
    </row>
    <row r="3" spans="1:19" ht="21" customHeight="1" thickBot="1" x14ac:dyDescent="0.3">
      <c r="A3" s="386"/>
      <c r="B3" s="394"/>
      <c r="C3" s="396"/>
      <c r="D3" s="375"/>
      <c r="E3" s="388"/>
      <c r="F3" s="390"/>
      <c r="G3" s="375"/>
      <c r="H3" s="381"/>
      <c r="I3" s="382"/>
      <c r="J3" s="377"/>
      <c r="K3" s="381"/>
      <c r="L3" s="375"/>
      <c r="M3" s="381"/>
      <c r="N3" s="384"/>
      <c r="O3" s="379"/>
      <c r="P3" s="375"/>
      <c r="Q3" s="377"/>
    </row>
    <row r="4" spans="1:19" ht="31.5" x14ac:dyDescent="0.25">
      <c r="A4" s="208">
        <v>60004100865</v>
      </c>
      <c r="B4" s="160">
        <v>50</v>
      </c>
      <c r="C4" s="144">
        <v>2212</v>
      </c>
      <c r="D4" s="144">
        <v>61</v>
      </c>
      <c r="E4" s="145" t="s">
        <v>45</v>
      </c>
      <c r="F4" s="146">
        <v>107833</v>
      </c>
      <c r="G4" s="146">
        <v>64734</v>
      </c>
      <c r="H4" s="147">
        <v>43099</v>
      </c>
      <c r="I4" s="147">
        <v>17757542.100000001</v>
      </c>
      <c r="J4" s="147">
        <f>(F4-G4-I4)</f>
        <v>-17714443.100000001</v>
      </c>
      <c r="K4" s="147">
        <v>140910</v>
      </c>
      <c r="L4" s="147">
        <v>30</v>
      </c>
      <c r="M4" s="148">
        <v>30250</v>
      </c>
      <c r="N4" s="149">
        <f>108900+150000</f>
        <v>258900</v>
      </c>
      <c r="O4" s="147">
        <v>20733</v>
      </c>
      <c r="P4" s="147">
        <v>43069</v>
      </c>
      <c r="Q4" s="161">
        <v>63802</v>
      </c>
      <c r="R4" s="43"/>
    </row>
    <row r="5" spans="1:19" ht="27" customHeight="1" x14ac:dyDescent="0.25">
      <c r="A5" s="204">
        <v>60004100863</v>
      </c>
      <c r="B5" s="124">
        <v>50</v>
      </c>
      <c r="C5" s="125">
        <v>2212</v>
      </c>
      <c r="D5" s="125">
        <v>61</v>
      </c>
      <c r="E5" s="150" t="s">
        <v>46</v>
      </c>
      <c r="F5" s="114">
        <v>17335</v>
      </c>
      <c r="G5" s="114">
        <v>14159</v>
      </c>
      <c r="H5" s="137">
        <v>3175</v>
      </c>
      <c r="I5" s="114">
        <f>16658166.11*0.15</f>
        <v>2498724.9164999998</v>
      </c>
      <c r="J5" s="114">
        <v>676550</v>
      </c>
      <c r="K5" s="114">
        <v>420000</v>
      </c>
      <c r="L5" s="147">
        <v>390</v>
      </c>
      <c r="M5" s="112">
        <v>0</v>
      </c>
      <c r="N5" s="114">
        <v>730000</v>
      </c>
      <c r="O5" s="114">
        <v>4248</v>
      </c>
      <c r="P5" s="151">
        <v>2785</v>
      </c>
      <c r="Q5" s="162">
        <v>7033</v>
      </c>
      <c r="R5" s="1"/>
    </row>
    <row r="6" spans="1:19" ht="26.25" customHeight="1" x14ac:dyDescent="0.25">
      <c r="A6" s="186">
        <v>60004100864</v>
      </c>
      <c r="B6" s="83">
        <v>50</v>
      </c>
      <c r="C6" s="96">
        <v>2212</v>
      </c>
      <c r="D6" s="96">
        <v>61</v>
      </c>
      <c r="E6" s="123" t="s">
        <v>47</v>
      </c>
      <c r="F6" s="113">
        <v>13294</v>
      </c>
      <c r="G6" s="113">
        <v>10998</v>
      </c>
      <c r="H6" s="151">
        <v>2296</v>
      </c>
      <c r="I6" s="113">
        <v>1940829.15</v>
      </c>
      <c r="J6" s="113">
        <v>355220</v>
      </c>
      <c r="K6" s="113">
        <v>215430</v>
      </c>
      <c r="L6" s="147">
        <v>216</v>
      </c>
      <c r="M6" s="112">
        <f>N6-248400+32970</f>
        <v>0</v>
      </c>
      <c r="N6" s="114">
        <f>100430+115000</f>
        <v>215430</v>
      </c>
      <c r="O6" s="113">
        <v>1100</v>
      </c>
      <c r="P6" s="151">
        <v>2080</v>
      </c>
      <c r="Q6" s="163">
        <v>3180</v>
      </c>
      <c r="R6" s="42"/>
    </row>
    <row r="7" spans="1:19" ht="33" customHeight="1" x14ac:dyDescent="0.25">
      <c r="A7" s="190" t="s">
        <v>48</v>
      </c>
      <c r="B7" s="391"/>
      <c r="C7" s="392"/>
      <c r="D7" s="392"/>
      <c r="E7" s="152" t="s">
        <v>49</v>
      </c>
      <c r="F7" s="114">
        <v>19325</v>
      </c>
      <c r="G7" s="114">
        <v>16426</v>
      </c>
      <c r="H7" s="137">
        <v>2899</v>
      </c>
      <c r="I7" s="114">
        <f t="shared" ref="I7:I9" si="0">F7-G7</f>
        <v>2899</v>
      </c>
      <c r="J7" s="114">
        <v>0</v>
      </c>
      <c r="K7" s="114">
        <v>0</v>
      </c>
      <c r="L7" s="147">
        <v>0</v>
      </c>
      <c r="M7" s="114">
        <v>0</v>
      </c>
      <c r="N7" s="114">
        <v>0</v>
      </c>
      <c r="O7" s="114">
        <v>0</v>
      </c>
      <c r="P7" s="151">
        <v>2899</v>
      </c>
      <c r="Q7" s="162">
        <v>2899</v>
      </c>
    </row>
    <row r="8" spans="1:19" ht="28.5" customHeight="1" x14ac:dyDescent="0.25">
      <c r="A8" s="190" t="s">
        <v>48</v>
      </c>
      <c r="B8" s="391"/>
      <c r="C8" s="392"/>
      <c r="D8" s="392"/>
      <c r="E8" s="152" t="s">
        <v>50</v>
      </c>
      <c r="F8" s="114">
        <v>11497</v>
      </c>
      <c r="G8" s="114">
        <v>9772</v>
      </c>
      <c r="H8" s="137">
        <v>1725</v>
      </c>
      <c r="I8" s="114">
        <f t="shared" si="0"/>
        <v>1725</v>
      </c>
      <c r="J8" s="114">
        <v>0</v>
      </c>
      <c r="K8" s="114">
        <v>0</v>
      </c>
      <c r="L8" s="147">
        <v>0</v>
      </c>
      <c r="M8" s="114">
        <v>0</v>
      </c>
      <c r="N8" s="114">
        <v>0</v>
      </c>
      <c r="O8" s="114">
        <v>0</v>
      </c>
      <c r="P8" s="151">
        <v>1725</v>
      </c>
      <c r="Q8" s="162">
        <v>1725</v>
      </c>
    </row>
    <row r="9" spans="1:19" ht="24.75" customHeight="1" x14ac:dyDescent="0.25">
      <c r="A9" s="190" t="s">
        <v>48</v>
      </c>
      <c r="B9" s="391"/>
      <c r="C9" s="392"/>
      <c r="D9" s="392"/>
      <c r="E9" s="152" t="s">
        <v>51</v>
      </c>
      <c r="F9" s="114">
        <v>7264</v>
      </c>
      <c r="G9" s="114">
        <v>6174</v>
      </c>
      <c r="H9" s="137">
        <v>1090</v>
      </c>
      <c r="I9" s="114">
        <f t="shared" si="0"/>
        <v>1090</v>
      </c>
      <c r="J9" s="114">
        <v>0</v>
      </c>
      <c r="K9" s="114">
        <v>0</v>
      </c>
      <c r="L9" s="147">
        <v>0</v>
      </c>
      <c r="M9" s="114">
        <v>0</v>
      </c>
      <c r="N9" s="114">
        <v>0</v>
      </c>
      <c r="O9" s="114">
        <v>0</v>
      </c>
      <c r="P9" s="151">
        <v>1090</v>
      </c>
      <c r="Q9" s="162">
        <v>1090</v>
      </c>
    </row>
    <row r="10" spans="1:19" ht="48" customHeight="1" x14ac:dyDescent="0.25">
      <c r="A10" s="190">
        <v>60001100873</v>
      </c>
      <c r="B10" s="164">
        <v>52</v>
      </c>
      <c r="C10" s="183">
        <v>3122</v>
      </c>
      <c r="D10" s="183">
        <v>61</v>
      </c>
      <c r="E10" s="152" t="s">
        <v>52</v>
      </c>
      <c r="F10" s="114">
        <v>16622</v>
      </c>
      <c r="G10" s="114">
        <v>12875</v>
      </c>
      <c r="H10" s="137">
        <v>3748</v>
      </c>
      <c r="I10" s="114">
        <v>1430508</v>
      </c>
      <c r="J10" s="114">
        <v>2317150</v>
      </c>
      <c r="K10" s="114">
        <v>420000</v>
      </c>
      <c r="L10" s="147">
        <v>0</v>
      </c>
      <c r="M10" s="153">
        <f>N10-420000</f>
        <v>61564</v>
      </c>
      <c r="N10" s="114">
        <f>187000+115000+124025+55539</f>
        <v>481564</v>
      </c>
      <c r="O10" s="114">
        <v>0</v>
      </c>
      <c r="P10" s="151">
        <v>3748</v>
      </c>
      <c r="Q10" s="162">
        <v>3748</v>
      </c>
      <c r="R10" s="41"/>
      <c r="S10" s="1"/>
    </row>
    <row r="11" spans="1:19" ht="34.5" customHeight="1" x14ac:dyDescent="0.25">
      <c r="A11" s="190">
        <v>60001100875</v>
      </c>
      <c r="B11" s="164">
        <v>52</v>
      </c>
      <c r="C11" s="183">
        <v>3113</v>
      </c>
      <c r="D11" s="183">
        <v>61</v>
      </c>
      <c r="E11" s="152" t="s">
        <v>53</v>
      </c>
      <c r="F11" s="114">
        <v>28343</v>
      </c>
      <c r="G11" s="114">
        <v>17498</v>
      </c>
      <c r="H11" s="137">
        <v>10845</v>
      </c>
      <c r="I11" s="114">
        <v>1944167</v>
      </c>
      <c r="J11" s="114">
        <v>8900885</v>
      </c>
      <c r="K11" s="114">
        <v>354400</v>
      </c>
      <c r="L11" s="147">
        <v>0</v>
      </c>
      <c r="M11" s="112">
        <f>N11-630000+275600</f>
        <v>0</v>
      </c>
      <c r="N11" s="114">
        <f>191000+115000+48400</f>
        <v>354400</v>
      </c>
      <c r="O11" s="114">
        <v>0</v>
      </c>
      <c r="P11" s="151">
        <v>10845</v>
      </c>
      <c r="Q11" s="162">
        <v>10845</v>
      </c>
      <c r="R11" s="41"/>
      <c r="S11" s="1"/>
    </row>
    <row r="12" spans="1:19" ht="44.25" customHeight="1" x14ac:dyDescent="0.25">
      <c r="A12" s="190">
        <v>60001100877</v>
      </c>
      <c r="B12" s="164">
        <v>52</v>
      </c>
      <c r="C12" s="183">
        <v>3122</v>
      </c>
      <c r="D12" s="183">
        <v>61</v>
      </c>
      <c r="E12" s="152" t="s">
        <v>54</v>
      </c>
      <c r="F12" s="114">
        <v>31562</v>
      </c>
      <c r="G12" s="114">
        <v>20922</v>
      </c>
      <c r="H12" s="137">
        <v>10640</v>
      </c>
      <c r="I12" s="114">
        <v>2324636</v>
      </c>
      <c r="J12" s="114">
        <v>8315821</v>
      </c>
      <c r="K12" s="114">
        <v>122750</v>
      </c>
      <c r="L12" s="147">
        <v>0</v>
      </c>
      <c r="M12" s="153">
        <f>N12-500000+377250</f>
        <v>160000</v>
      </c>
      <c r="N12" s="114">
        <f>77000+115000+90750</f>
        <v>282750</v>
      </c>
      <c r="O12" s="114">
        <v>0</v>
      </c>
      <c r="P12" s="151">
        <v>10640</v>
      </c>
      <c r="Q12" s="162">
        <v>10640</v>
      </c>
      <c r="R12" s="41"/>
      <c r="S12" s="1"/>
    </row>
    <row r="13" spans="1:19" ht="48.75" customHeight="1" x14ac:dyDescent="0.25">
      <c r="A13" s="190">
        <v>60001100878</v>
      </c>
      <c r="B13" s="164">
        <v>52</v>
      </c>
      <c r="C13" s="183">
        <v>3122</v>
      </c>
      <c r="D13" s="183">
        <v>61</v>
      </c>
      <c r="E13" s="152" t="s">
        <v>55</v>
      </c>
      <c r="F13" s="114">
        <v>11934</v>
      </c>
      <c r="G13" s="114">
        <v>4300</v>
      </c>
      <c r="H13" s="137">
        <v>7634</v>
      </c>
      <c r="I13" s="114">
        <v>477759</v>
      </c>
      <c r="J13" s="114">
        <v>7156701</v>
      </c>
      <c r="K13" s="114">
        <v>90000</v>
      </c>
      <c r="L13" s="147">
        <v>0</v>
      </c>
      <c r="M13" s="154">
        <f>N13-330000+240000</f>
        <v>170000</v>
      </c>
      <c r="N13" s="114">
        <f>93000+100000+67000</f>
        <v>260000</v>
      </c>
      <c r="O13" s="114">
        <v>0</v>
      </c>
      <c r="P13" s="151">
        <v>7634</v>
      </c>
      <c r="Q13" s="162">
        <v>7634</v>
      </c>
      <c r="R13" s="41"/>
      <c r="S13" s="1"/>
    </row>
    <row r="14" spans="1:19" ht="48.75" customHeight="1" x14ac:dyDescent="0.25">
      <c r="A14" s="190">
        <v>60001100879</v>
      </c>
      <c r="B14" s="164">
        <v>52</v>
      </c>
      <c r="C14" s="183">
        <v>3122</v>
      </c>
      <c r="D14" s="183">
        <v>61</v>
      </c>
      <c r="E14" s="152" t="s">
        <v>56</v>
      </c>
      <c r="F14" s="114">
        <v>35709</v>
      </c>
      <c r="G14" s="114">
        <v>22966</v>
      </c>
      <c r="H14" s="137">
        <v>12742</v>
      </c>
      <c r="I14" s="114">
        <v>2551829</v>
      </c>
      <c r="J14" s="114">
        <v>10190707</v>
      </c>
      <c r="K14" s="114">
        <v>376000</v>
      </c>
      <c r="L14" s="147">
        <v>0</v>
      </c>
      <c r="M14" s="112">
        <f>N14-600000+224000</f>
        <v>0</v>
      </c>
      <c r="N14" s="114">
        <f>193000+115000+68000</f>
        <v>376000</v>
      </c>
      <c r="O14" s="114">
        <v>0</v>
      </c>
      <c r="P14" s="151">
        <v>12743</v>
      </c>
      <c r="Q14" s="162">
        <v>12743</v>
      </c>
      <c r="R14" s="41"/>
      <c r="S14" s="1"/>
    </row>
    <row r="15" spans="1:19" ht="49.5" customHeight="1" x14ac:dyDescent="0.25">
      <c r="A15" s="190">
        <v>60001100880</v>
      </c>
      <c r="B15" s="164">
        <v>52</v>
      </c>
      <c r="C15" s="183">
        <v>3121</v>
      </c>
      <c r="D15" s="183">
        <v>61</v>
      </c>
      <c r="E15" s="152" t="s">
        <v>57</v>
      </c>
      <c r="F15" s="114">
        <v>17660</v>
      </c>
      <c r="G15" s="114">
        <v>12780</v>
      </c>
      <c r="H15" s="137">
        <v>4880</v>
      </c>
      <c r="I15" s="114">
        <v>1419995</v>
      </c>
      <c r="J15" s="114">
        <v>3459929</v>
      </c>
      <c r="K15" s="114">
        <v>289000</v>
      </c>
      <c r="L15" s="147">
        <v>0</v>
      </c>
      <c r="M15" s="112">
        <f>N15-320000+31000</f>
        <v>0</v>
      </c>
      <c r="N15" s="114">
        <f>90000+115000+84000</f>
        <v>289000</v>
      </c>
      <c r="O15" s="114">
        <v>0</v>
      </c>
      <c r="P15" s="151">
        <v>4880</v>
      </c>
      <c r="Q15" s="162">
        <v>4880</v>
      </c>
      <c r="R15" s="41"/>
      <c r="S15" s="1"/>
    </row>
    <row r="16" spans="1:19" ht="48.75" customHeight="1" x14ac:dyDescent="0.25">
      <c r="A16" s="190">
        <v>60001100466</v>
      </c>
      <c r="B16" s="164">
        <v>52</v>
      </c>
      <c r="C16" s="183">
        <v>3122</v>
      </c>
      <c r="D16" s="183">
        <v>61</v>
      </c>
      <c r="E16" s="152" t="s">
        <v>58</v>
      </c>
      <c r="F16" s="114">
        <v>13020</v>
      </c>
      <c r="G16" s="114">
        <v>6987</v>
      </c>
      <c r="H16" s="137">
        <v>6034</v>
      </c>
      <c r="I16" s="114">
        <v>776299</v>
      </c>
      <c r="J16" s="114">
        <v>5257405</v>
      </c>
      <c r="K16" s="114">
        <v>228200</v>
      </c>
      <c r="L16" s="147">
        <v>0</v>
      </c>
      <c r="M16" s="112">
        <f>N16-250000+21800</f>
        <v>0</v>
      </c>
      <c r="N16" s="114">
        <f>89000+115000+24200</f>
        <v>228200</v>
      </c>
      <c r="O16" s="114">
        <v>0</v>
      </c>
      <c r="P16" s="151">
        <v>6034</v>
      </c>
      <c r="Q16" s="162">
        <v>6034</v>
      </c>
      <c r="R16" s="41"/>
      <c r="S16" s="1"/>
    </row>
    <row r="17" spans="1:19" ht="48" customHeight="1" x14ac:dyDescent="0.25">
      <c r="A17" s="190">
        <v>60001100881</v>
      </c>
      <c r="B17" s="164">
        <v>52</v>
      </c>
      <c r="C17" s="183">
        <v>3122</v>
      </c>
      <c r="D17" s="183">
        <v>61</v>
      </c>
      <c r="E17" s="152" t="s">
        <v>59</v>
      </c>
      <c r="F17" s="114">
        <v>7432</v>
      </c>
      <c r="G17" s="114">
        <v>5572</v>
      </c>
      <c r="H17" s="137">
        <v>1860</v>
      </c>
      <c r="I17" s="114">
        <v>619097</v>
      </c>
      <c r="J17" s="114">
        <v>1241097</v>
      </c>
      <c r="K17" s="114">
        <v>248720</v>
      </c>
      <c r="L17" s="147">
        <v>0</v>
      </c>
      <c r="M17" s="112">
        <f>N17-380000+131280</f>
        <v>0</v>
      </c>
      <c r="N17" s="114">
        <f>110000+100000+38720</f>
        <v>248720</v>
      </c>
      <c r="O17" s="114">
        <v>0</v>
      </c>
      <c r="P17" s="151">
        <v>1860</v>
      </c>
      <c r="Q17" s="162">
        <v>1860</v>
      </c>
      <c r="R17" s="41"/>
      <c r="S17" s="1"/>
    </row>
    <row r="18" spans="1:19" ht="52.5" customHeight="1" x14ac:dyDescent="0.25">
      <c r="A18" s="190">
        <v>60001100882</v>
      </c>
      <c r="B18" s="164">
        <v>52</v>
      </c>
      <c r="C18" s="183">
        <v>3122</v>
      </c>
      <c r="D18" s="183">
        <v>61</v>
      </c>
      <c r="E18" s="152" t="s">
        <v>60</v>
      </c>
      <c r="F18" s="114">
        <v>30741</v>
      </c>
      <c r="G18" s="114">
        <v>22015</v>
      </c>
      <c r="H18" s="137">
        <v>8726</v>
      </c>
      <c r="I18" s="114">
        <v>2446136</v>
      </c>
      <c r="J18" s="114">
        <v>6279631</v>
      </c>
      <c r="K18" s="114">
        <v>316020</v>
      </c>
      <c r="L18" s="147">
        <v>0</v>
      </c>
      <c r="M18" s="112">
        <f>N18-600000+283980</f>
        <v>0</v>
      </c>
      <c r="N18" s="107">
        <f>121000+120000+75020</f>
        <v>316020</v>
      </c>
      <c r="O18" s="114">
        <v>0</v>
      </c>
      <c r="P18" s="151">
        <v>8726</v>
      </c>
      <c r="Q18" s="162">
        <v>8726</v>
      </c>
      <c r="R18" s="41"/>
      <c r="S18" s="1"/>
    </row>
    <row r="19" spans="1:19" ht="47.25" customHeight="1" x14ac:dyDescent="0.25">
      <c r="A19" s="190">
        <v>60002100884</v>
      </c>
      <c r="B19" s="164">
        <v>52</v>
      </c>
      <c r="C19" s="183">
        <v>4354</v>
      </c>
      <c r="D19" s="183">
        <v>61</v>
      </c>
      <c r="E19" s="152" t="s">
        <v>61</v>
      </c>
      <c r="F19" s="114">
        <v>11145</v>
      </c>
      <c r="G19" s="114">
        <v>7524</v>
      </c>
      <c r="H19" s="137">
        <v>3621</v>
      </c>
      <c r="I19" s="114">
        <v>835990</v>
      </c>
      <c r="J19" s="114">
        <v>2785219</v>
      </c>
      <c r="K19" s="114">
        <v>188500</v>
      </c>
      <c r="L19" s="147">
        <v>0</v>
      </c>
      <c r="M19" s="112">
        <f>N19-300000+111500</f>
        <v>0</v>
      </c>
      <c r="N19" s="114">
        <f>48000+100000+18900+21600</f>
        <v>188500</v>
      </c>
      <c r="O19" s="114">
        <v>0</v>
      </c>
      <c r="P19" s="151">
        <v>3621</v>
      </c>
      <c r="Q19" s="162">
        <v>3621</v>
      </c>
      <c r="R19" s="41"/>
      <c r="S19" s="1"/>
    </row>
    <row r="20" spans="1:19" ht="50.25" customHeight="1" x14ac:dyDescent="0.25">
      <c r="A20" s="190">
        <v>60005100886</v>
      </c>
      <c r="B20" s="164">
        <v>52</v>
      </c>
      <c r="C20" s="183">
        <v>3522</v>
      </c>
      <c r="D20" s="183">
        <v>61</v>
      </c>
      <c r="E20" s="152" t="s">
        <v>62</v>
      </c>
      <c r="F20" s="114">
        <v>8428</v>
      </c>
      <c r="G20" s="114">
        <v>4413</v>
      </c>
      <c r="H20" s="137">
        <v>4014</v>
      </c>
      <c r="I20" s="114">
        <v>490370</v>
      </c>
      <c r="J20" s="114">
        <v>3523891</v>
      </c>
      <c r="K20" s="114">
        <v>200580</v>
      </c>
      <c r="L20" s="147">
        <v>0</v>
      </c>
      <c r="M20" s="112">
        <f>N20-400000+199420</f>
        <v>0</v>
      </c>
      <c r="N20" s="114">
        <f>82000+118580</f>
        <v>200580</v>
      </c>
      <c r="O20" s="114">
        <v>0</v>
      </c>
      <c r="P20" s="151">
        <v>4014</v>
      </c>
      <c r="Q20" s="162">
        <v>4014</v>
      </c>
      <c r="R20" s="41"/>
      <c r="S20" s="1"/>
    </row>
    <row r="21" spans="1:19" ht="36.75" customHeight="1" x14ac:dyDescent="0.25">
      <c r="A21" s="190">
        <v>60003100872</v>
      </c>
      <c r="B21" s="164">
        <v>59</v>
      </c>
      <c r="C21" s="183"/>
      <c r="D21" s="183">
        <v>61</v>
      </c>
      <c r="E21" s="152" t="s">
        <v>63</v>
      </c>
      <c r="F21" s="114">
        <v>29431</v>
      </c>
      <c r="G21" s="114">
        <v>19975</v>
      </c>
      <c r="H21" s="137">
        <v>9456</v>
      </c>
      <c r="I21" s="114">
        <v>3525000</v>
      </c>
      <c r="J21" s="114">
        <v>5931261</v>
      </c>
      <c r="K21" s="114">
        <v>563030</v>
      </c>
      <c r="L21" s="147">
        <v>563</v>
      </c>
      <c r="M21" s="154">
        <v>100000</v>
      </c>
      <c r="N21" s="114">
        <f>80000+350000+33033+100000</f>
        <v>563033</v>
      </c>
      <c r="O21" s="114">
        <v>2000</v>
      </c>
      <c r="P21" s="151">
        <v>8893</v>
      </c>
      <c r="Q21" s="162">
        <v>10893</v>
      </c>
      <c r="R21" s="42"/>
    </row>
    <row r="22" spans="1:19" ht="32.25" customHeight="1" x14ac:dyDescent="0.25">
      <c r="A22" s="190">
        <v>60009100862</v>
      </c>
      <c r="B22" s="164">
        <v>59</v>
      </c>
      <c r="C22" s="183"/>
      <c r="D22" s="183">
        <v>61</v>
      </c>
      <c r="E22" s="152" t="s">
        <v>107</v>
      </c>
      <c r="F22" s="114">
        <v>7505</v>
      </c>
      <c r="G22" s="114">
        <v>6379</v>
      </c>
      <c r="H22" s="137">
        <v>1126</v>
      </c>
      <c r="I22" s="114">
        <f>F22*0.15</f>
        <v>1125.75</v>
      </c>
      <c r="J22" s="114">
        <v>0</v>
      </c>
      <c r="K22" s="114">
        <v>0</v>
      </c>
      <c r="L22" s="147">
        <v>0</v>
      </c>
      <c r="M22" s="114">
        <v>0</v>
      </c>
      <c r="N22" s="114">
        <v>96800</v>
      </c>
      <c r="O22" s="114">
        <v>6379</v>
      </c>
      <c r="P22" s="151">
        <v>1126</v>
      </c>
      <c r="Q22" s="162">
        <v>7505</v>
      </c>
    </row>
    <row r="23" spans="1:19" ht="46.5" customHeight="1" thickBot="1" x14ac:dyDescent="0.3">
      <c r="A23" s="204">
        <v>60005100889</v>
      </c>
      <c r="B23" s="209">
        <v>59</v>
      </c>
      <c r="C23" s="210"/>
      <c r="D23" s="210">
        <v>61</v>
      </c>
      <c r="E23" s="211" t="s">
        <v>108</v>
      </c>
      <c r="F23" s="108">
        <v>79971</v>
      </c>
      <c r="G23" s="108">
        <v>67975</v>
      </c>
      <c r="H23" s="155">
        <v>11996</v>
      </c>
      <c r="I23" s="119">
        <f>F23*0.15</f>
        <v>11995.65</v>
      </c>
      <c r="J23" s="108">
        <v>0</v>
      </c>
      <c r="K23" s="108">
        <v>217800</v>
      </c>
      <c r="L23" s="156">
        <v>97</v>
      </c>
      <c r="M23" s="108">
        <f>N23-300000+82200</f>
        <v>0</v>
      </c>
      <c r="N23" s="119">
        <f>96800+121000</f>
        <v>217800</v>
      </c>
      <c r="O23" s="119">
        <v>67975</v>
      </c>
      <c r="P23" s="156">
        <v>11899</v>
      </c>
      <c r="Q23" s="165">
        <v>79874</v>
      </c>
    </row>
    <row r="24" spans="1:19" ht="21.75" customHeight="1" thickTop="1" thickBot="1" x14ac:dyDescent="0.3">
      <c r="B24" s="365" t="s">
        <v>109</v>
      </c>
      <c r="C24" s="366"/>
      <c r="D24" s="366"/>
      <c r="E24" s="367"/>
      <c r="F24" s="213">
        <f t="shared" ref="F24:Q24" si="1">SUM(F4:F23)</f>
        <v>506051</v>
      </c>
      <c r="G24" s="213">
        <f t="shared" si="1"/>
        <v>354444</v>
      </c>
      <c r="H24" s="213">
        <f t="shared" si="1"/>
        <v>151606</v>
      </c>
      <c r="I24" s="213">
        <f t="shared" si="1"/>
        <v>41057717.566500001</v>
      </c>
      <c r="J24" s="213">
        <f t="shared" si="1"/>
        <v>48677023.899999999</v>
      </c>
      <c r="K24" s="213">
        <f t="shared" si="1"/>
        <v>4391340</v>
      </c>
      <c r="L24" s="213">
        <f t="shared" si="1"/>
        <v>1296</v>
      </c>
      <c r="M24" s="213">
        <f t="shared" si="1"/>
        <v>521814</v>
      </c>
      <c r="N24" s="213">
        <f t="shared" si="1"/>
        <v>5307697</v>
      </c>
      <c r="O24" s="213">
        <f t="shared" si="1"/>
        <v>102435</v>
      </c>
      <c r="P24" s="213">
        <f t="shared" si="1"/>
        <v>150311</v>
      </c>
      <c r="Q24" s="213">
        <f t="shared" si="1"/>
        <v>252746</v>
      </c>
      <c r="R24" s="1"/>
    </row>
    <row r="25" spans="1:19" ht="16.5" thickBot="1" x14ac:dyDescent="0.3">
      <c r="A25" s="214"/>
      <c r="B25" s="371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3"/>
    </row>
    <row r="26" spans="1:19" ht="15.75" x14ac:dyDescent="0.25">
      <c r="B26" s="221" t="s">
        <v>110</v>
      </c>
      <c r="C26" s="222"/>
      <c r="D26" s="222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9"/>
    </row>
    <row r="27" spans="1:19" ht="31.5" x14ac:dyDescent="0.25">
      <c r="A27" s="191"/>
      <c r="B27" s="166">
        <v>50</v>
      </c>
      <c r="C27" s="97">
        <v>2212</v>
      </c>
      <c r="D27" s="97">
        <v>61</v>
      </c>
      <c r="E27" s="157" t="s">
        <v>64</v>
      </c>
      <c r="F27" s="112">
        <v>23785</v>
      </c>
      <c r="G27" s="112">
        <v>20217</v>
      </c>
      <c r="H27" s="151">
        <v>3568</v>
      </c>
      <c r="I27" s="112">
        <f t="shared" ref="I27:I31" si="2">F27*0.15</f>
        <v>3567.75</v>
      </c>
      <c r="J27" s="112">
        <v>0</v>
      </c>
      <c r="K27" s="112">
        <v>50000</v>
      </c>
      <c r="L27" s="112">
        <v>0</v>
      </c>
      <c r="M27" s="112">
        <f>-100000+100000</f>
        <v>0</v>
      </c>
      <c r="N27" s="112">
        <v>50000</v>
      </c>
      <c r="O27" s="112">
        <v>0</v>
      </c>
      <c r="P27" s="112">
        <v>800</v>
      </c>
      <c r="Q27" s="167">
        <v>800</v>
      </c>
    </row>
    <row r="28" spans="1:19" ht="31.5" x14ac:dyDescent="0.25">
      <c r="A28" s="191"/>
      <c r="B28" s="166">
        <v>50</v>
      </c>
      <c r="C28" s="97">
        <v>2212</v>
      </c>
      <c r="D28" s="97">
        <v>61</v>
      </c>
      <c r="E28" s="157" t="s">
        <v>65</v>
      </c>
      <c r="F28" s="112">
        <v>44900</v>
      </c>
      <c r="G28" s="112">
        <v>38165</v>
      </c>
      <c r="H28" s="151">
        <v>6735</v>
      </c>
      <c r="I28" s="112">
        <f t="shared" si="2"/>
        <v>6735</v>
      </c>
      <c r="J28" s="112">
        <v>0</v>
      </c>
      <c r="K28" s="112">
        <v>50000</v>
      </c>
      <c r="L28" s="112">
        <v>0</v>
      </c>
      <c r="M28" s="112">
        <f>-150000+150000</f>
        <v>0</v>
      </c>
      <c r="N28" s="112">
        <v>50000</v>
      </c>
      <c r="O28" s="112">
        <v>0</v>
      </c>
      <c r="P28" s="112">
        <v>1350</v>
      </c>
      <c r="Q28" s="167">
        <v>1350</v>
      </c>
    </row>
    <row r="29" spans="1:19" ht="31.5" x14ac:dyDescent="0.25">
      <c r="A29" s="191"/>
      <c r="B29" s="166">
        <v>50</v>
      </c>
      <c r="C29" s="97">
        <v>2212</v>
      </c>
      <c r="D29" s="97">
        <v>61</v>
      </c>
      <c r="E29" s="157" t="s">
        <v>66</v>
      </c>
      <c r="F29" s="112">
        <v>34900</v>
      </c>
      <c r="G29" s="112">
        <v>29665</v>
      </c>
      <c r="H29" s="151">
        <v>5235</v>
      </c>
      <c r="I29" s="112">
        <f t="shared" si="2"/>
        <v>5235</v>
      </c>
      <c r="J29" s="112">
        <v>0</v>
      </c>
      <c r="K29" s="112">
        <v>50000</v>
      </c>
      <c r="L29" s="112">
        <v>0</v>
      </c>
      <c r="M29" s="112">
        <f>-150000+150000</f>
        <v>0</v>
      </c>
      <c r="N29" s="112">
        <v>50000</v>
      </c>
      <c r="O29" s="112">
        <v>0</v>
      </c>
      <c r="P29" s="112">
        <v>950</v>
      </c>
      <c r="Q29" s="167">
        <v>950</v>
      </c>
    </row>
    <row r="30" spans="1:19" ht="31.5" x14ac:dyDescent="0.25">
      <c r="A30" s="191"/>
      <c r="B30" s="166">
        <v>50</v>
      </c>
      <c r="C30" s="97">
        <v>2212</v>
      </c>
      <c r="D30" s="97">
        <v>61</v>
      </c>
      <c r="E30" s="157" t="s">
        <v>67</v>
      </c>
      <c r="F30" s="112">
        <v>90200</v>
      </c>
      <c r="G30" s="112">
        <v>76670</v>
      </c>
      <c r="H30" s="151">
        <v>13530</v>
      </c>
      <c r="I30" s="112">
        <f t="shared" si="2"/>
        <v>13530</v>
      </c>
      <c r="J30" s="112">
        <v>0</v>
      </c>
      <c r="K30" s="112">
        <v>50000</v>
      </c>
      <c r="L30" s="112">
        <v>0</v>
      </c>
      <c r="M30" s="112">
        <f>-200000+200000</f>
        <v>0</v>
      </c>
      <c r="N30" s="112">
        <v>50000</v>
      </c>
      <c r="O30" s="112">
        <v>0</v>
      </c>
      <c r="P30" s="112">
        <v>2250</v>
      </c>
      <c r="Q30" s="167">
        <v>2250</v>
      </c>
    </row>
    <row r="31" spans="1:19" ht="75.75" customHeight="1" thickBot="1" x14ac:dyDescent="0.3">
      <c r="A31" s="220"/>
      <c r="B31" s="168">
        <v>50</v>
      </c>
      <c r="C31" s="158">
        <v>2212</v>
      </c>
      <c r="D31" s="158">
        <v>61</v>
      </c>
      <c r="E31" s="159" t="s">
        <v>68</v>
      </c>
      <c r="F31" s="117">
        <v>67700</v>
      </c>
      <c r="G31" s="117">
        <v>57545</v>
      </c>
      <c r="H31" s="156">
        <v>10155</v>
      </c>
      <c r="I31" s="117">
        <f t="shared" si="2"/>
        <v>10155</v>
      </c>
      <c r="J31" s="117">
        <v>0</v>
      </c>
      <c r="K31" s="117">
        <v>50000</v>
      </c>
      <c r="L31" s="117">
        <v>0</v>
      </c>
      <c r="M31" s="117">
        <f>-200000+200000</f>
        <v>0</v>
      </c>
      <c r="N31" s="117">
        <v>50000</v>
      </c>
      <c r="O31" s="117">
        <v>0</v>
      </c>
      <c r="P31" s="117">
        <v>1800</v>
      </c>
      <c r="Q31" s="169">
        <v>1800</v>
      </c>
    </row>
    <row r="32" spans="1:19" ht="22.5" customHeight="1" thickTop="1" thickBot="1" x14ac:dyDescent="0.3">
      <c r="A32" s="212"/>
      <c r="B32" s="362" t="s">
        <v>111</v>
      </c>
      <c r="C32" s="363"/>
      <c r="D32" s="363"/>
      <c r="E32" s="364"/>
      <c r="F32" s="109">
        <f t="shared" ref="F32:Q32" si="3">SUM(F27:F31)</f>
        <v>261485</v>
      </c>
      <c r="G32" s="109">
        <f t="shared" si="3"/>
        <v>222262</v>
      </c>
      <c r="H32" s="109">
        <f t="shared" si="3"/>
        <v>39223</v>
      </c>
      <c r="I32" s="109">
        <f t="shared" si="3"/>
        <v>39222.75</v>
      </c>
      <c r="J32" s="109">
        <f t="shared" si="3"/>
        <v>0</v>
      </c>
      <c r="K32" s="109">
        <f t="shared" si="3"/>
        <v>250000</v>
      </c>
      <c r="L32" s="109">
        <f t="shared" si="3"/>
        <v>0</v>
      </c>
      <c r="M32" s="109">
        <f t="shared" si="3"/>
        <v>0</v>
      </c>
      <c r="N32" s="109">
        <f t="shared" si="3"/>
        <v>250000</v>
      </c>
      <c r="O32" s="109">
        <f t="shared" si="3"/>
        <v>0</v>
      </c>
      <c r="P32" s="109">
        <f t="shared" si="3"/>
        <v>7150</v>
      </c>
      <c r="Q32" s="170">
        <f t="shared" si="3"/>
        <v>7150</v>
      </c>
    </row>
    <row r="33" spans="1:17" ht="16.5" thickBot="1" x14ac:dyDescent="0.3">
      <c r="A33" s="216"/>
      <c r="B33" s="368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70"/>
    </row>
    <row r="34" spans="1:17" ht="24" customHeight="1" thickBot="1" x14ac:dyDescent="0.3">
      <c r="A34" s="217"/>
      <c r="B34" s="361" t="s">
        <v>112</v>
      </c>
      <c r="C34" s="361"/>
      <c r="D34" s="361"/>
      <c r="E34" s="361"/>
      <c r="F34" s="215">
        <f>F24+F32</f>
        <v>767536</v>
      </c>
      <c r="G34" s="215">
        <f t="shared" ref="G34:Q34" si="4">G24+G32</f>
        <v>576706</v>
      </c>
      <c r="H34" s="215">
        <f t="shared" si="4"/>
        <v>190829</v>
      </c>
      <c r="I34" s="215">
        <f t="shared" si="4"/>
        <v>41096940.316500001</v>
      </c>
      <c r="J34" s="215">
        <f t="shared" si="4"/>
        <v>48677023.899999999</v>
      </c>
      <c r="K34" s="215">
        <f t="shared" si="4"/>
        <v>4641340</v>
      </c>
      <c r="L34" s="215">
        <f t="shared" si="4"/>
        <v>1296</v>
      </c>
      <c r="M34" s="215">
        <f t="shared" si="4"/>
        <v>521814</v>
      </c>
      <c r="N34" s="215">
        <f t="shared" si="4"/>
        <v>5557697</v>
      </c>
      <c r="O34" s="215">
        <f t="shared" si="4"/>
        <v>102435</v>
      </c>
      <c r="P34" s="215">
        <f t="shared" si="4"/>
        <v>157461</v>
      </c>
      <c r="Q34" s="215">
        <f t="shared" si="4"/>
        <v>259896</v>
      </c>
    </row>
    <row r="36" spans="1:17" x14ac:dyDescent="0.25">
      <c r="I36" s="39"/>
      <c r="J36" s="1"/>
      <c r="K36" s="1"/>
      <c r="L36" s="1"/>
      <c r="M36" s="1"/>
    </row>
    <row r="37" spans="1:17" x14ac:dyDescent="0.25">
      <c r="A37" s="40"/>
      <c r="B37" s="40"/>
      <c r="C37" s="40"/>
      <c r="D37" s="40"/>
      <c r="M37" s="1"/>
    </row>
    <row r="38" spans="1:17" x14ac:dyDescent="0.25">
      <c r="H38" s="171"/>
      <c r="M38" s="1"/>
    </row>
    <row r="39" spans="1:17" x14ac:dyDescent="0.25">
      <c r="L39" s="171"/>
    </row>
    <row r="40" spans="1:17" x14ac:dyDescent="0.25">
      <c r="G40" s="44"/>
      <c r="H40" s="44"/>
      <c r="I40" s="45"/>
      <c r="J40" s="45"/>
      <c r="K40" s="45"/>
      <c r="L40" s="45"/>
    </row>
    <row r="41" spans="1:17" x14ac:dyDescent="0.25">
      <c r="E41" s="48"/>
      <c r="H41" s="1"/>
      <c r="I41" s="46"/>
      <c r="J41" s="1"/>
      <c r="K41" s="1"/>
      <c r="L41" s="1"/>
    </row>
    <row r="42" spans="1:17" x14ac:dyDescent="0.25">
      <c r="H42" s="1"/>
      <c r="I42" s="46"/>
      <c r="J42" s="1"/>
      <c r="K42" s="1"/>
      <c r="L42" s="1"/>
    </row>
    <row r="43" spans="1:17" x14ac:dyDescent="0.25">
      <c r="H43" s="1"/>
      <c r="I43" s="46"/>
      <c r="J43" s="1"/>
      <c r="K43" s="1"/>
      <c r="L43" s="1"/>
    </row>
    <row r="44" spans="1:17" x14ac:dyDescent="0.25">
      <c r="H44" s="1"/>
      <c r="I44" s="1"/>
      <c r="J44" s="1"/>
      <c r="K44" s="1"/>
      <c r="L44" s="1"/>
    </row>
    <row r="45" spans="1:17" x14ac:dyDescent="0.25">
      <c r="H45" s="1"/>
      <c r="I45" s="1"/>
      <c r="J45" s="1"/>
      <c r="K45" s="1"/>
      <c r="L45" s="1"/>
    </row>
    <row r="46" spans="1:17" x14ac:dyDescent="0.25">
      <c r="H46" s="36"/>
      <c r="I46" s="36"/>
      <c r="J46" s="36"/>
      <c r="K46" s="36"/>
      <c r="L46" s="36"/>
    </row>
    <row r="48" spans="1:17" ht="15.75" x14ac:dyDescent="0.25">
      <c r="G48" s="80"/>
      <c r="H48" s="80"/>
      <c r="I48" s="81"/>
    </row>
    <row r="50" spans="7:9" ht="15.75" x14ac:dyDescent="0.25">
      <c r="G50" s="80"/>
      <c r="H50" s="80"/>
      <c r="I50" s="81"/>
    </row>
  </sheetData>
  <mergeCells count="23">
    <mergeCell ref="B7:D7"/>
    <mergeCell ref="B8:D8"/>
    <mergeCell ref="B9:D9"/>
    <mergeCell ref="B2:B3"/>
    <mergeCell ref="C2:C3"/>
    <mergeCell ref="A2:A3"/>
    <mergeCell ref="E2:E3"/>
    <mergeCell ref="F2:F3"/>
    <mergeCell ref="K2:K3"/>
    <mergeCell ref="M2:M3"/>
    <mergeCell ref="D2:D3"/>
    <mergeCell ref="P2:P3"/>
    <mergeCell ref="Q2:Q3"/>
    <mergeCell ref="O2:O3"/>
    <mergeCell ref="L2:L3"/>
    <mergeCell ref="G2:G3"/>
    <mergeCell ref="H2:J3"/>
    <mergeCell ref="N2:N3"/>
    <mergeCell ref="B34:E34"/>
    <mergeCell ref="B32:E32"/>
    <mergeCell ref="B24:E24"/>
    <mergeCell ref="B33:Q33"/>
    <mergeCell ref="B25:Q25"/>
  </mergeCells>
  <pageMargins left="0.70866141732283472" right="0.70866141732283472" top="0.78740157480314965" bottom="0.78740157480314965" header="0.31496062992125984" footer="0.31496062992125984"/>
  <pageSetup paperSize="9" scale="78" firstPageNumber="108" fitToHeight="0" orientation="landscape" useFirstPageNumber="1" r:id="rId1"/>
  <headerFooter>
    <oddFooter>&amp;L&amp;"-,Kurzíva"Zastupitelstvo Olomouckého kraje 12-12-2014
6.  - Rozpočet Olomouckého kraje 2015 - návrh rozpočtu
Příloha č. 7: Financování investičních akcí 5. až 12. alokace &amp;R&amp;"-,Kurzíva"Strana &amp;P (celkem 127)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Přehled</vt:lpstr>
      <vt:lpstr>5 - 10 Alokace</vt:lpstr>
      <vt:lpstr>11 Alokace</vt:lpstr>
      <vt:lpstr>nad rámec 11. alokace</vt:lpstr>
      <vt:lpstr>nové nezařazené</vt:lpstr>
      <vt:lpstr>'11 Alokace'!Názvy_tisku</vt:lpstr>
      <vt:lpstr>'5 - 10 Alokace'!Názvy_tisku</vt:lpstr>
      <vt:lpstr>'nad rámec 11. alokace'!Názvy_tisku</vt:lpstr>
      <vt:lpstr>'nové nezařazené'!Názvy_tisku</vt:lpstr>
      <vt:lpstr>'11 Alokace'!Oblast_tisku</vt:lpstr>
      <vt:lpstr>'5 - 10 Alokace'!Oblast_tisku</vt:lpstr>
      <vt:lpstr>'nad rámec 11. alokace'!Oblast_tisku</vt:lpstr>
      <vt:lpstr>'nové nezařazené'!Oblast_tisku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2014-11-27T06:46:55Z</cp:lastPrinted>
  <dcterms:created xsi:type="dcterms:W3CDTF">2013-11-04T07:24:03Z</dcterms:created>
  <dcterms:modified xsi:type="dcterms:W3CDTF">2014-11-27T06:47:16Z</dcterms:modified>
</cp:coreProperties>
</file>