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14. splátka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úvěru'!$B$1:$AO$70</definedName>
  </definedNames>
  <calcPr calcId="162913"/>
</workbook>
</file>

<file path=xl/calcChain.xml><?xml version="1.0" encoding="utf-8"?>
<calcChain xmlns="http://schemas.openxmlformats.org/spreadsheetml/2006/main">
  <c r="AN58" i="6" l="1"/>
  <c r="H69" i="6" l="1"/>
  <c r="G68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53" i="6"/>
  <c r="G52" i="6"/>
  <c r="G51" i="6"/>
  <c r="G50" i="6"/>
  <c r="G43" i="6"/>
  <c r="G44" i="6"/>
  <c r="G45" i="6"/>
  <c r="G46" i="6"/>
  <c r="G47" i="6"/>
  <c r="G48" i="6"/>
  <c r="G49" i="6"/>
  <c r="G42" i="6"/>
  <c r="G40" i="6"/>
  <c r="G39" i="6"/>
  <c r="G31" i="6"/>
  <c r="G32" i="6"/>
  <c r="G33" i="6"/>
  <c r="G34" i="6"/>
  <c r="G35" i="6"/>
  <c r="G36" i="6"/>
  <c r="G37" i="6"/>
  <c r="G38" i="6"/>
  <c r="G29" i="6"/>
  <c r="G30" i="6"/>
  <c r="G27" i="6"/>
  <c r="G28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5" i="6"/>
  <c r="G4" i="6"/>
  <c r="G69" i="6" l="1"/>
  <c r="AN33" i="6"/>
  <c r="AN38" i="6"/>
  <c r="I61" i="6" l="1"/>
  <c r="I69" i="6" l="1"/>
  <c r="J10" i="6" l="1"/>
  <c r="J69" i="6" l="1"/>
  <c r="K63" i="6" l="1"/>
  <c r="L33" i="6" l="1"/>
  <c r="K69" i="6"/>
  <c r="AN11" i="6" l="1"/>
  <c r="L61" i="6" l="1"/>
  <c r="L8" i="6"/>
  <c r="L44" i="6"/>
  <c r="T41" i="6" l="1"/>
  <c r="T40" i="6"/>
  <c r="L69" i="6" l="1"/>
  <c r="AN40" i="6" l="1"/>
  <c r="AN16" i="6"/>
  <c r="AN18" i="6"/>
  <c r="M52" i="6" l="1"/>
  <c r="M8" i="6" l="1"/>
  <c r="M63" i="6" l="1"/>
  <c r="M33" i="6"/>
  <c r="M15" i="6" l="1"/>
  <c r="M10" i="6" l="1"/>
  <c r="M5" i="6"/>
  <c r="M44" i="6"/>
  <c r="M69" i="6" l="1"/>
  <c r="AN7" i="6" l="1"/>
  <c r="AN9" i="6"/>
  <c r="AN69" i="6" l="1"/>
  <c r="N69" i="6"/>
  <c r="O33" i="6" l="1"/>
  <c r="N44" i="6" l="1"/>
  <c r="N32" i="6" l="1"/>
  <c r="F69" i="6" l="1"/>
  <c r="O21" i="6" l="1"/>
  <c r="O45" i="6" l="1"/>
  <c r="O11" i="6" l="1"/>
  <c r="O69" i="6" l="1"/>
  <c r="P69" i="6"/>
  <c r="Q69" i="6"/>
  <c r="R69" i="6"/>
  <c r="S69" i="6"/>
  <c r="T69" i="6"/>
  <c r="U69" i="6"/>
  <c r="V69" i="6"/>
  <c r="W69" i="6"/>
  <c r="X69" i="6"/>
  <c r="Y69" i="6"/>
  <c r="Z69" i="6"/>
  <c r="AA69" i="6"/>
  <c r="AB69" i="6"/>
  <c r="AC69" i="6"/>
  <c r="AD69" i="6"/>
  <c r="AE69" i="6"/>
  <c r="AF69" i="6"/>
  <c r="AG69" i="6"/>
  <c r="AH69" i="6"/>
  <c r="AI69" i="6"/>
  <c r="AJ69" i="6"/>
  <c r="AK69" i="6"/>
  <c r="AL69" i="6"/>
  <c r="AM69" i="6"/>
  <c r="AO68" i="6"/>
  <c r="O63" i="6" l="1"/>
  <c r="O13" i="6"/>
  <c r="O24" i="6" l="1"/>
  <c r="O32" i="6"/>
  <c r="O44" i="6" l="1"/>
  <c r="O54" i="6"/>
  <c r="O8" i="6" l="1"/>
  <c r="O10" i="6"/>
  <c r="AO67" i="6"/>
  <c r="O52" i="6"/>
  <c r="U41" i="6" l="1"/>
  <c r="U40" i="6"/>
  <c r="AN5" i="6" l="1"/>
  <c r="P40" i="6" l="1"/>
  <c r="AA34" i="6" l="1"/>
  <c r="P41" i="6" l="1"/>
  <c r="AO65" i="6" l="1"/>
  <c r="AO66" i="6"/>
  <c r="AN6" i="6" l="1"/>
  <c r="AN10" i="6"/>
  <c r="Q21" i="6" l="1"/>
  <c r="Q33" i="6" l="1"/>
  <c r="Q56" i="6" l="1"/>
  <c r="Q32" i="6" l="1"/>
  <c r="Q10" i="6" l="1"/>
  <c r="Q54" i="6"/>
  <c r="AO64" i="6"/>
  <c r="Q13" i="6"/>
  <c r="Q63" i="6" l="1"/>
  <c r="AO63" i="6" l="1"/>
  <c r="Q5" i="6" l="1"/>
  <c r="Q51" i="6"/>
  <c r="R44" i="6" l="1"/>
  <c r="R58" i="6" l="1"/>
  <c r="R11" i="6" l="1"/>
  <c r="R51" i="6" l="1"/>
  <c r="R38" i="6"/>
  <c r="R41" i="6" l="1"/>
  <c r="R25" i="6" l="1"/>
  <c r="R36" i="6"/>
  <c r="R48" i="6" l="1"/>
  <c r="F55" i="6" l="1"/>
  <c r="R52" i="6" l="1"/>
  <c r="R21" i="6"/>
  <c r="R54" i="6"/>
  <c r="R10" i="6"/>
  <c r="S37" i="6" l="1"/>
  <c r="S62" i="6" l="1"/>
  <c r="AO62" i="6"/>
  <c r="S50" i="6" l="1"/>
  <c r="S58" i="6"/>
  <c r="AO61" i="6"/>
  <c r="S32" i="6"/>
  <c r="S13" i="6"/>
  <c r="S8" i="6"/>
  <c r="S5" i="6"/>
  <c r="S47" i="6"/>
  <c r="T43" i="6" l="1"/>
  <c r="AO60" i="6"/>
  <c r="T22" i="6"/>
  <c r="AO59" i="6"/>
  <c r="T58" i="6"/>
  <c r="AO58" i="6"/>
  <c r="AO57" i="6"/>
  <c r="AO56" i="6" l="1"/>
  <c r="U38" i="6" l="1"/>
  <c r="U13" i="6"/>
  <c r="U9" i="6"/>
  <c r="U10" i="6" l="1"/>
  <c r="U32" i="6"/>
  <c r="U52" i="6" l="1"/>
  <c r="AO40" i="6"/>
  <c r="Y40" i="6"/>
  <c r="W40" i="6"/>
  <c r="V33" i="6" l="1"/>
  <c r="AO55" i="6" l="1"/>
  <c r="V38" i="6" l="1"/>
  <c r="AO54" i="6" l="1"/>
  <c r="V16" i="6"/>
  <c r="AO53" i="6" l="1"/>
  <c r="V52" i="6"/>
  <c r="AO52" i="6" l="1"/>
  <c r="AO51" i="6"/>
  <c r="W14" i="6" l="1"/>
  <c r="W10" i="6" l="1"/>
  <c r="W5" i="6" l="1"/>
  <c r="W9" i="6" l="1"/>
  <c r="W50" i="6" l="1"/>
  <c r="AO50" i="6" s="1"/>
  <c r="AO48" i="6"/>
  <c r="AO49" i="6"/>
  <c r="W8" i="6" l="1"/>
  <c r="AO47" i="6" l="1"/>
  <c r="W25" i="6"/>
  <c r="W16" i="6"/>
  <c r="W44" i="6" l="1"/>
  <c r="AO46" i="6" l="1"/>
  <c r="AO45" i="6" l="1"/>
  <c r="X10" i="6" l="1"/>
  <c r="X9" i="6" l="1"/>
  <c r="X44" i="6"/>
  <c r="AO44" i="6"/>
  <c r="Y16" i="6" l="1"/>
  <c r="Y11" i="6"/>
  <c r="AO43" i="6" l="1"/>
  <c r="AO42" i="6"/>
  <c r="Y33" i="6" l="1"/>
  <c r="AO39" i="6" l="1"/>
  <c r="AO38" i="6"/>
  <c r="Z30" i="6" l="1"/>
  <c r="AO36" i="6" l="1"/>
  <c r="AO37" i="6"/>
  <c r="Z11" i="6" l="1"/>
  <c r="Z10" i="6"/>
  <c r="Z5" i="6"/>
  <c r="AO35" i="6"/>
  <c r="AO34" i="6" l="1"/>
  <c r="AA31" i="6" l="1"/>
  <c r="AA33" i="6"/>
  <c r="AO33" i="6" s="1"/>
  <c r="AA5" i="6"/>
  <c r="AA25" i="6"/>
  <c r="AA9" i="6"/>
  <c r="AA10" i="6"/>
  <c r="AO26" i="6" l="1"/>
  <c r="AO27" i="6"/>
  <c r="AO28" i="6"/>
  <c r="AO29" i="6"/>
  <c r="AO30" i="6"/>
  <c r="AO31" i="6"/>
  <c r="AO32" i="6"/>
  <c r="AB10" i="6" l="1"/>
  <c r="AB9" i="6" l="1"/>
  <c r="AB5" i="6"/>
  <c r="AB24" i="6"/>
  <c r="AO25" i="6"/>
  <c r="AB23" i="6"/>
  <c r="AB8" i="6"/>
  <c r="AO20" i="6"/>
  <c r="AO21" i="6"/>
  <c r="AO22" i="6"/>
  <c r="AO23" i="6"/>
  <c r="AO24" i="6" l="1"/>
  <c r="AO19" i="6"/>
  <c r="AN4" i="6" l="1"/>
  <c r="AO4" i="6" l="1"/>
  <c r="AD11" i="6"/>
  <c r="AO15" i="6"/>
  <c r="AO16" i="6"/>
  <c r="AO18" i="6"/>
  <c r="AO17" i="6"/>
  <c r="AO13" i="6" l="1"/>
  <c r="AO14" i="6"/>
  <c r="AO12" i="6" l="1"/>
  <c r="AO9" i="6"/>
  <c r="AO7" i="6"/>
  <c r="AF11" i="6"/>
  <c r="AO11" i="6" l="1"/>
  <c r="AI6" i="6"/>
  <c r="AL6" i="6"/>
  <c r="AL8" i="6"/>
  <c r="AM6" i="6"/>
  <c r="AM5" i="6"/>
  <c r="AO6" i="6" l="1"/>
  <c r="AO8" i="6"/>
  <c r="AM10" i="6"/>
  <c r="AO10" i="6" l="1"/>
  <c r="AO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AO69" i="6" l="1"/>
  <c r="AO70" i="6" s="1"/>
  <c r="H21" i="9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AM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AL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M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L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M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</commentList>
</comments>
</file>

<file path=xl/sharedStrings.xml><?xml version="1.0" encoding="utf-8"?>
<sst xmlns="http://schemas.openxmlformats.org/spreadsheetml/2006/main" count="215" uniqueCount="149">
  <si>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</si>
  <si>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</si>
  <si>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</si>
  <si>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</si>
  <si>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</si>
  <si>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</si>
  <si>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</si>
  <si>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</si>
  <si>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</si>
  <si>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</si>
  <si>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</si>
  <si>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</si>
  <si>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</si>
  <si>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</si>
  <si>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</si>
  <si>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</si>
  <si>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</si>
  <si>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</si>
  <si>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</si>
  <si>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</si>
  <si>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</si>
  <si>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</si>
  <si>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</si>
  <si>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</si>
  <si>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</si>
  <si>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</si>
  <si>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</si>
  <si>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</si>
  <si>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</si>
  <si>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</si>
  <si>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</si>
  <si>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</si>
  <si>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</si>
  <si>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</si>
  <si>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</si>
  <si>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</si>
  <si>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</si>
  <si>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</si>
  <si>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</si>
  <si>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</si>
  <si>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</si>
  <si>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</si>
  <si>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</si>
  <si>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</si>
  <si>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</si>
  <si>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</si>
  <si>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</si>
  <si>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</si>
  <si>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</si>
  <si>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</si>
  <si>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</si>
  <si>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</si>
  <si>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</si>
  <si>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</si>
  <si>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</si>
  <si>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</si>
  <si>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</si>
  <si>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</si>
  <si>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</si>
  <si>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</si>
  <si>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</si>
  <si>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</si>
  <si>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</si>
  <si>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</si>
  <si>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</si>
  <si>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</si>
  <si>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</si>
  <si>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</si>
  <si>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</si>
  <si>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</si>
  <si>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</si>
  <si>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</si>
  <si>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</si>
  <si>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</si>
  <si>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</si>
  <si>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</si>
  <si>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</si>
  <si>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</si>
  <si>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</si>
  <si>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</si>
  <si>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</si>
  <si>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</si>
  <si>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</si>
  <si>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</si>
  <si>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</si>
  <si>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</si>
  <si>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</si>
  <si>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</si>
  <si>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</si>
  <si>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</si>
  <si>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</si>
  <si>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</si>
  <si>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</si>
  <si>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</si>
  <si>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</si>
  <si>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</si>
  <si>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</si>
  <si>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</si>
  <si>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</si>
  <si>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</si>
  <si>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</si>
  <si>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</si>
  <si>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</si>
  <si>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</si>
  <si>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</si>
  <si>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</si>
  <si>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</si>
  <si>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</si>
  <si>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</si>
  <si>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</si>
  <si>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</si>
  <si>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</si>
  <si>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</si>
  <si>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</si>
  <si>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</si>
  <si>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</si>
  <si>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</si>
  <si>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</si>
  <si>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</si>
  <si>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</si>
  <si>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</si>
  <si>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</si>
  <si>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</si>
  <si>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</si>
  <si>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</si>
  <si>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</si>
  <si>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</si>
  <si>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</si>
  <si>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</si>
  <si>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</si>
  <si>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</si>
  <si>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</si>
  <si>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</si>
  <si>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</si>
  <si>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</si>
  <si>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</si>
  <si>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</si>
  <si>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</si>
  <si>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</si>
  <si>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</si>
  <si>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</si>
  <si>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</si>
  <si>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</si>
  <si>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</si>
  <si>
    <t>28. dílčí čerpání revolvingu KB (21.01.2019)   UR/57/59/2019</t>
  </si>
  <si>
    <t>29. dílčí čerpání revolvingu KB (04.02.2019)  UR/58/64/2019</t>
  </si>
  <si>
    <t>30. dílčí čerpání revolvingu KB (18.02.2019)  UR/59/42/2019</t>
  </si>
  <si>
    <t xml:space="preserve">32. dílčí čerpání revolvingu KB (01.04.2019)  </t>
  </si>
  <si>
    <t>31. dílčí čerpání revolvingu KB (18.03.2019)  UR/61/69/2019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</si>
</sst>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96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4" fontId="4" fillId="0" borderId="30" xfId="0" applyNumberFormat="1" applyFont="1" applyFill="1" applyBorder="1" applyAlignment="1">
      <alignment horizontal="right" vertical="top"/>
    </xf>
    <xf numFmtId="4" fontId="19" fillId="0" borderId="33" xfId="0" applyNumberFormat="1" applyFont="1" applyFill="1" applyBorder="1" applyAlignment="1">
      <alignment horizontal="right" vertical="top"/>
    </xf>
    <xf numFmtId="0" fontId="5" fillId="0" borderId="49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 wrapText="1"/>
    </xf>
    <xf numFmtId="4" fontId="5" fillId="0" borderId="49" xfId="0" applyNumberFormat="1" applyFont="1" applyFill="1" applyBorder="1" applyAlignment="1">
      <alignment horizontal="right" vertical="center"/>
    </xf>
    <xf numFmtId="4" fontId="5" fillId="0" borderId="50" xfId="0" applyNumberFormat="1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vertical="center" wrapText="1"/>
    </xf>
    <xf numFmtId="4" fontId="5" fillId="0" borderId="55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 wrapText="1"/>
    </xf>
    <xf numFmtId="4" fontId="0" fillId="0" borderId="0" xfId="0" applyNumberFormat="1"/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4" fillId="0" borderId="58" xfId="0" applyNumberFormat="1" applyFont="1" applyFill="1" applyBorder="1" applyAlignment="1">
      <alignment horizontal="right" vertical="top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right" vertical="top"/>
    </xf>
    <xf numFmtId="0" fontId="19" fillId="0" borderId="32" xfId="0" applyFont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0" fontId="5" fillId="0" borderId="4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Q73"/>
  <sheetViews>
    <sheetView tabSelected="1" zoomScaleNormal="100" zoomScaleSheetLayoutView="100" workbookViewId="0">
      <selection activeCell="AN2" sqref="AN2:AN3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38.5703125" customWidth="1"/>
    <col min="5" max="5" width="63.7109375" customWidth="1"/>
    <col min="6" max="6" width="17.7109375" customWidth="1"/>
    <col min="7" max="7" width="16.28515625" customWidth="1"/>
    <col min="8" max="34" width="16.28515625" hidden="1" customWidth="1"/>
    <col min="35" max="35" width="17.140625" hidden="1" customWidth="1"/>
    <col min="36" max="36" width="17.85546875" hidden="1" customWidth="1"/>
    <col min="37" max="37" width="19.42578125" hidden="1" customWidth="1"/>
    <col min="38" max="38" width="17.42578125" hidden="1" customWidth="1"/>
    <col min="39" max="39" width="15.140625" hidden="1" customWidth="1"/>
    <col min="40" max="40" width="17.42578125" customWidth="1"/>
    <col min="41" max="41" width="19.7109375" customWidth="1"/>
    <col min="43" max="43" width="18.85546875" customWidth="1"/>
  </cols>
  <sheetData>
    <row r="1" spans="2:41" ht="19.5" thickBot="1" x14ac:dyDescent="0.35">
      <c r="B1" s="162" t="s">
        <v>38</v>
      </c>
      <c r="C1" s="162"/>
      <c r="D1" s="162"/>
      <c r="E1" s="162"/>
      <c r="F1" s="162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1" t="s">
        <v>30</v>
      </c>
    </row>
    <row r="2" spans="2:41" ht="15.75" customHeight="1" thickTop="1" x14ac:dyDescent="0.25">
      <c r="B2" s="152" t="s">
        <v>5</v>
      </c>
      <c r="C2" s="169" t="s">
        <v>0</v>
      </c>
      <c r="D2" s="158" t="s">
        <v>112</v>
      </c>
      <c r="E2" s="169" t="s">
        <v>1</v>
      </c>
      <c r="F2" s="154" t="s">
        <v>36</v>
      </c>
      <c r="G2" s="156" t="s">
        <v>28</v>
      </c>
      <c r="H2" s="156" t="s">
        <v>147</v>
      </c>
      <c r="I2" s="156" t="s">
        <v>148</v>
      </c>
      <c r="J2" s="156" t="s">
        <v>146</v>
      </c>
      <c r="K2" s="156" t="s">
        <v>145</v>
      </c>
      <c r="L2" s="156" t="s">
        <v>144</v>
      </c>
      <c r="M2" s="156" t="s">
        <v>143</v>
      </c>
      <c r="N2" s="156" t="s">
        <v>142</v>
      </c>
      <c r="O2" s="156" t="s">
        <v>141</v>
      </c>
      <c r="P2" s="156" t="s">
        <v>136</v>
      </c>
      <c r="Q2" s="156" t="s">
        <v>133</v>
      </c>
      <c r="R2" s="156" t="s">
        <v>140</v>
      </c>
      <c r="S2" s="156" t="s">
        <v>130</v>
      </c>
      <c r="T2" s="156" t="s">
        <v>109</v>
      </c>
      <c r="U2" s="156" t="s">
        <v>103</v>
      </c>
      <c r="V2" s="156" t="s">
        <v>102</v>
      </c>
      <c r="W2" s="156" t="s">
        <v>98</v>
      </c>
      <c r="X2" s="156" t="s">
        <v>90</v>
      </c>
      <c r="Y2" s="156" t="s">
        <v>85</v>
      </c>
      <c r="Z2" s="156" t="s">
        <v>79</v>
      </c>
      <c r="AA2" s="156" t="s">
        <v>78</v>
      </c>
      <c r="AB2" s="156" t="s">
        <v>71</v>
      </c>
      <c r="AC2" s="156" t="s">
        <v>58</v>
      </c>
      <c r="AD2" s="156" t="s">
        <v>56</v>
      </c>
      <c r="AE2" s="156" t="s">
        <v>55</v>
      </c>
      <c r="AF2" s="156" t="s">
        <v>47</v>
      </c>
      <c r="AG2" s="156" t="s">
        <v>41</v>
      </c>
      <c r="AH2" s="156" t="s">
        <v>57</v>
      </c>
      <c r="AI2" s="156" t="s">
        <v>42</v>
      </c>
      <c r="AJ2" s="156" t="s">
        <v>43</v>
      </c>
      <c r="AK2" s="156" t="s">
        <v>44</v>
      </c>
      <c r="AL2" s="156" t="s">
        <v>45</v>
      </c>
      <c r="AM2" s="156" t="s">
        <v>46</v>
      </c>
      <c r="AN2" s="156" t="s">
        <v>50</v>
      </c>
      <c r="AO2" s="174" t="s">
        <v>27</v>
      </c>
    </row>
    <row r="3" spans="2:41" ht="48.75" customHeight="1" thickBot="1" x14ac:dyDescent="0.3">
      <c r="B3" s="153"/>
      <c r="C3" s="170"/>
      <c r="D3" s="159"/>
      <c r="E3" s="170"/>
      <c r="F3" s="155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75"/>
    </row>
    <row r="4" spans="2:41" ht="16.5" thickTop="1" x14ac:dyDescent="0.25">
      <c r="B4" s="55">
        <v>50</v>
      </c>
      <c r="C4" s="56">
        <v>100915</v>
      </c>
      <c r="D4" s="110" t="s">
        <v>113</v>
      </c>
      <c r="E4" s="57" t="s">
        <v>31</v>
      </c>
      <c r="F4" s="58">
        <v>100827566.23</v>
      </c>
      <c r="G4" s="58">
        <f>SUM(H4:AM4)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>
        <v>50732493</v>
      </c>
      <c r="AL4" s="58"/>
      <c r="AM4" s="58">
        <v>33823000</v>
      </c>
      <c r="AN4" s="58">
        <f>35722939.54+48832553.46</f>
        <v>84555493</v>
      </c>
      <c r="AO4" s="59">
        <f>G4-AN4</f>
        <v>0</v>
      </c>
    </row>
    <row r="5" spans="2:41" ht="15" customHeight="1" x14ac:dyDescent="0.25">
      <c r="B5" s="60">
        <v>52</v>
      </c>
      <c r="C5" s="61">
        <v>101080</v>
      </c>
      <c r="D5" s="111" t="s">
        <v>113</v>
      </c>
      <c r="E5" s="62" t="s">
        <v>29</v>
      </c>
      <c r="F5" s="63">
        <v>43111962.899999999</v>
      </c>
      <c r="G5" s="63">
        <f>SUM(H5:AM5)</f>
        <v>39510675.000000007</v>
      </c>
      <c r="H5" s="63">
        <v>7770828.5999999996</v>
      </c>
      <c r="I5" s="63">
        <v>6447632.4000000004</v>
      </c>
      <c r="J5" s="63"/>
      <c r="K5" s="63"/>
      <c r="L5" s="63">
        <v>2502369.9</v>
      </c>
      <c r="M5" s="63">
        <f>4737.6+1289053.8</f>
        <v>1293791.4000000001</v>
      </c>
      <c r="N5" s="63"/>
      <c r="O5" s="63">
        <v>2913213.6</v>
      </c>
      <c r="P5" s="63">
        <v>4737.6000000000004</v>
      </c>
      <c r="Q5" s="63">
        <f>1379180.7</f>
        <v>1379180.7</v>
      </c>
      <c r="R5" s="63">
        <v>4737.6000000000004</v>
      </c>
      <c r="S5" s="63">
        <f>452513.7+1498386.6+4737.6-1800</f>
        <v>1953837.9000000001</v>
      </c>
      <c r="T5" s="63"/>
      <c r="U5" s="63">
        <v>572472</v>
      </c>
      <c r="V5" s="63">
        <v>4737.6000000000004</v>
      </c>
      <c r="W5" s="63">
        <f>4737.6+1599051.6+928194.3</f>
        <v>2531983.5</v>
      </c>
      <c r="X5" s="63"/>
      <c r="Y5" s="63">
        <v>2691313.2</v>
      </c>
      <c r="Z5" s="63">
        <f>548022.6+827964.9</f>
        <v>1375987.5</v>
      </c>
      <c r="AA5" s="63">
        <f>112455+4737.6</f>
        <v>117192.6</v>
      </c>
      <c r="AB5" s="63">
        <f>4737.6+548435.7</f>
        <v>553173.29999999993</v>
      </c>
      <c r="AC5" s="63">
        <v>3202485.6</v>
      </c>
      <c r="AD5" s="63"/>
      <c r="AE5" s="63"/>
      <c r="AF5" s="63"/>
      <c r="AG5" s="63"/>
      <c r="AH5" s="63"/>
      <c r="AI5" s="63"/>
      <c r="AJ5" s="63"/>
      <c r="AK5" s="63"/>
      <c r="AL5" s="63"/>
      <c r="AM5" s="63">
        <f>15037000-7315000-431000-3100000</f>
        <v>4191000</v>
      </c>
      <c r="AN5" s="63">
        <f>4552634.85+5719945.5</f>
        <v>10272580.35</v>
      </c>
      <c r="AO5" s="64">
        <f>G5-AN5</f>
        <v>29238094.650000006</v>
      </c>
    </row>
    <row r="6" spans="2:41" ht="15.75" x14ac:dyDescent="0.25">
      <c r="B6" s="60">
        <v>12</v>
      </c>
      <c r="C6" s="61">
        <v>1600</v>
      </c>
      <c r="D6" s="111" t="s">
        <v>114</v>
      </c>
      <c r="E6" s="62" t="s">
        <v>32</v>
      </c>
      <c r="F6" s="63">
        <v>164072363.22</v>
      </c>
      <c r="G6" s="63">
        <f t="shared" ref="G6:G26" si="0">SUM(H6:AM6)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>
        <v>11479091.68</v>
      </c>
      <c r="Z6" s="63">
        <v>3572543.77</v>
      </c>
      <c r="AA6" s="63"/>
      <c r="AB6" s="63"/>
      <c r="AC6" s="63">
        <v>483066.76</v>
      </c>
      <c r="AD6" s="63"/>
      <c r="AE6" s="63"/>
      <c r="AF6" s="63">
        <v>13541731.43</v>
      </c>
      <c r="AG6" s="63"/>
      <c r="AH6" s="63">
        <v>12413444.029999999</v>
      </c>
      <c r="AI6" s="63">
        <f>27436365.11-6090000-3100000</f>
        <v>18246365.109999999</v>
      </c>
      <c r="AJ6" s="63">
        <v>15658817.550000001</v>
      </c>
      <c r="AK6" s="63">
        <v>8315262.8799999999</v>
      </c>
      <c r="AL6" s="63">
        <f>3729948.93+6090000</f>
        <v>9819948.9299999997</v>
      </c>
      <c r="AM6" s="63">
        <f>3100000</f>
        <v>3100000</v>
      </c>
      <c r="AN6" s="63">
        <f>81578636.71+15051635.43</f>
        <v>96630272.139999986</v>
      </c>
      <c r="AO6" s="64">
        <f>G6-AN6</f>
        <v>0</v>
      </c>
    </row>
    <row r="7" spans="2:41" ht="15.75" x14ac:dyDescent="0.25">
      <c r="B7" s="60">
        <v>12</v>
      </c>
      <c r="C7" s="61">
        <v>1600</v>
      </c>
      <c r="D7" s="111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>
        <v>4049994.74</v>
      </c>
      <c r="Z7" s="63">
        <v>4356</v>
      </c>
      <c r="AA7" s="63"/>
      <c r="AB7" s="63"/>
      <c r="AC7" s="63"/>
      <c r="AD7" s="63"/>
      <c r="AE7" s="63"/>
      <c r="AF7" s="63"/>
      <c r="AG7" s="63">
        <v>3237175.44</v>
      </c>
      <c r="AH7" s="63">
        <v>6991149.0999999996</v>
      </c>
      <c r="AI7" s="63">
        <v>4356</v>
      </c>
      <c r="AJ7" s="63">
        <v>3816000.31</v>
      </c>
      <c r="AK7" s="63">
        <v>806397.55</v>
      </c>
      <c r="AL7" s="63">
        <v>217541.61</v>
      </c>
      <c r="AM7" s="63"/>
      <c r="AN7" s="63">
        <f>19030302.01+96668.74</f>
        <v>19126970.75</v>
      </c>
      <c r="AO7" s="64">
        <f t="shared" ref="AO7:AO14" si="1">G7-AN7</f>
        <v>0</v>
      </c>
    </row>
    <row r="8" spans="2:41" ht="31.5" x14ac:dyDescent="0.25">
      <c r="B8" s="60">
        <v>52</v>
      </c>
      <c r="C8" s="61">
        <v>100768</v>
      </c>
      <c r="D8" s="111" t="s">
        <v>113</v>
      </c>
      <c r="E8" s="62" t="s">
        <v>34</v>
      </c>
      <c r="F8" s="63">
        <v>56075578.880000003</v>
      </c>
      <c r="G8" s="63">
        <f t="shared" si="0"/>
        <v>17275435.060000002</v>
      </c>
      <c r="H8" s="63">
        <v>76251.210000000006</v>
      </c>
      <c r="I8" s="63"/>
      <c r="J8" s="63"/>
      <c r="K8" s="63"/>
      <c r="L8" s="63">
        <f>507947.98+1656</f>
        <v>509603.98</v>
      </c>
      <c r="M8" s="63">
        <f>2070+1063610.67</f>
        <v>1065680.67</v>
      </c>
      <c r="N8" s="63"/>
      <c r="O8" s="63">
        <f>1656+966679.23</f>
        <v>968335.23</v>
      </c>
      <c r="P8" s="63"/>
      <c r="Q8" s="63">
        <v>1107780.25</v>
      </c>
      <c r="R8" s="63"/>
      <c r="S8" s="63">
        <f>2015046.92+3726</f>
        <v>2018772.92</v>
      </c>
      <c r="T8" s="63"/>
      <c r="U8" s="63"/>
      <c r="V8" s="63">
        <v>2194943.2000000002</v>
      </c>
      <c r="W8" s="63">
        <f>2898+2584201.21</f>
        <v>2587099.21</v>
      </c>
      <c r="X8" s="63"/>
      <c r="Y8" s="63">
        <v>1717251.88</v>
      </c>
      <c r="Z8" s="63">
        <v>6012</v>
      </c>
      <c r="AA8" s="63">
        <v>1911435.95</v>
      </c>
      <c r="AB8" s="63">
        <f>1822719.58+107218.8-53669.82</f>
        <v>1876268.56</v>
      </c>
      <c r="AC8" s="63"/>
      <c r="AD8" s="63"/>
      <c r="AE8" s="63"/>
      <c r="AF8" s="63"/>
      <c r="AG8" s="63"/>
      <c r="AH8" s="63"/>
      <c r="AI8" s="63"/>
      <c r="AJ8" s="63"/>
      <c r="AK8" s="63"/>
      <c r="AL8" s="63">
        <f>7326000-6090000</f>
        <v>1236000</v>
      </c>
      <c r="AM8" s="63"/>
      <c r="AN8" s="63">
        <v>11457582.300000001</v>
      </c>
      <c r="AO8" s="64">
        <f t="shared" si="1"/>
        <v>5817852.7600000016</v>
      </c>
    </row>
    <row r="9" spans="2:41" s="118" customFormat="1" ht="22.5" customHeight="1" x14ac:dyDescent="0.25">
      <c r="B9" s="60">
        <v>52</v>
      </c>
      <c r="C9" s="61">
        <v>101011</v>
      </c>
      <c r="D9" s="111" t="s">
        <v>113</v>
      </c>
      <c r="E9" s="62" t="s">
        <v>35</v>
      </c>
      <c r="F9" s="63">
        <v>106577847.90000001</v>
      </c>
      <c r="G9" s="63">
        <f t="shared" si="0"/>
        <v>100070316.23999999</v>
      </c>
      <c r="H9" s="63"/>
      <c r="I9" s="63">
        <v>877571.1</v>
      </c>
      <c r="J9" s="63"/>
      <c r="K9" s="63"/>
      <c r="L9" s="63">
        <v>87120</v>
      </c>
      <c r="M9" s="63"/>
      <c r="N9" s="63"/>
      <c r="O9" s="63">
        <v>2920189.5</v>
      </c>
      <c r="P9" s="63"/>
      <c r="Q9" s="63"/>
      <c r="R9" s="63">
        <v>19602</v>
      </c>
      <c r="S9" s="63">
        <v>3430.35</v>
      </c>
      <c r="T9" s="63"/>
      <c r="U9" s="63">
        <f>64251+3920.4+8253856.25+455873.15</f>
        <v>8777900.8000000007</v>
      </c>
      <c r="V9" s="63">
        <v>37570.5</v>
      </c>
      <c r="W9" s="63">
        <f>19057.5+21562.2+277140.63+17480024.21</f>
        <v>17797784.539999999</v>
      </c>
      <c r="X9" s="63">
        <f>19057.5+2327600.29+14532950.21</f>
        <v>16879608</v>
      </c>
      <c r="Y9" s="63">
        <v>7350.75</v>
      </c>
      <c r="Z9" s="63">
        <v>8820.9</v>
      </c>
      <c r="AA9" s="63">
        <f>19057.5+11037194.45</f>
        <v>11056251.949999999</v>
      </c>
      <c r="AB9" s="63">
        <f>4465625.29-155311.38</f>
        <v>4310313.91</v>
      </c>
      <c r="AC9" s="63"/>
      <c r="AD9" s="63"/>
      <c r="AE9" s="63">
        <v>4410.46</v>
      </c>
      <c r="AF9" s="63"/>
      <c r="AG9" s="63"/>
      <c r="AH9" s="63">
        <v>11162291.48</v>
      </c>
      <c r="AI9" s="63"/>
      <c r="AJ9" s="63"/>
      <c r="AK9" s="63"/>
      <c r="AL9" s="63">
        <v>26120100</v>
      </c>
      <c r="AM9" s="63"/>
      <c r="AN9" s="63">
        <f>37054247.85+58394383.68+52304.59</f>
        <v>95500936.120000005</v>
      </c>
      <c r="AO9" s="64">
        <f t="shared" si="1"/>
        <v>4569380.1199999899</v>
      </c>
    </row>
    <row r="10" spans="2:41" ht="22.5" customHeight="1" x14ac:dyDescent="0.25">
      <c r="B10" s="60">
        <v>50</v>
      </c>
      <c r="C10" s="61">
        <v>100913</v>
      </c>
      <c r="D10" s="111" t="s">
        <v>113</v>
      </c>
      <c r="E10" s="62" t="s">
        <v>37</v>
      </c>
      <c r="F10" s="63">
        <v>186867763.41</v>
      </c>
      <c r="G10" s="63">
        <f t="shared" si="0"/>
        <v>167680109.72</v>
      </c>
      <c r="H10" s="63">
        <v>43560</v>
      </c>
      <c r="I10" s="63"/>
      <c r="J10" s="63">
        <f>8561899.75+30492</f>
        <v>8592391.75</v>
      </c>
      <c r="K10" s="63"/>
      <c r="L10" s="63"/>
      <c r="M10" s="63">
        <f>54450+9583.2</f>
        <v>64033.2</v>
      </c>
      <c r="N10" s="63"/>
      <c r="O10" s="63">
        <f>9583.2+76948.74</f>
        <v>86531.94</v>
      </c>
      <c r="P10" s="63"/>
      <c r="Q10" s="63">
        <f>9583.2+90495.9+578002.21+3650994.62</f>
        <v>4329075.93</v>
      </c>
      <c r="R10" s="63">
        <f>9583.2+98010+9249431.23</f>
        <v>9357024.4299999997</v>
      </c>
      <c r="S10" s="63"/>
      <c r="T10" s="63"/>
      <c r="U10" s="63">
        <f>98010+9583.2</f>
        <v>107593.2</v>
      </c>
      <c r="V10" s="63">
        <v>15743425.52</v>
      </c>
      <c r="W10" s="63">
        <f>30511556.7+9583.2+98010</f>
        <v>30619149.899999999</v>
      </c>
      <c r="X10" s="63">
        <f>98010+9583.2</f>
        <v>107593.2</v>
      </c>
      <c r="Y10" s="63">
        <v>24281840.899999999</v>
      </c>
      <c r="Z10" s="63">
        <f>9583.2+114345</f>
        <v>123928.2</v>
      </c>
      <c r="AA10" s="63">
        <f>38136570.76</f>
        <v>38136570.759999998</v>
      </c>
      <c r="AB10" s="63">
        <f>30293637.38+1781978.67+9583.2-3743808.46</f>
        <v>28341390.789999995</v>
      </c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>
        <f>7315000+431000</f>
        <v>7746000</v>
      </c>
      <c r="AN10" s="63">
        <f>74347889.73+70745257.71</f>
        <v>145093147.44</v>
      </c>
      <c r="AO10" s="64">
        <f t="shared" si="1"/>
        <v>22586962.280000001</v>
      </c>
    </row>
    <row r="11" spans="2:41" ht="31.5" x14ac:dyDescent="0.25">
      <c r="B11" s="60">
        <v>52</v>
      </c>
      <c r="C11" s="61">
        <v>100876</v>
      </c>
      <c r="D11" s="111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/>
      <c r="K11" s="63"/>
      <c r="L11" s="63"/>
      <c r="M11" s="63"/>
      <c r="N11" s="63"/>
      <c r="O11" s="63">
        <f>1329721.2-315947</f>
        <v>1013774.2</v>
      </c>
      <c r="P11" s="63"/>
      <c r="Q11" s="63">
        <v>1473884.4</v>
      </c>
      <c r="R11" s="63">
        <f>1734724+7744</f>
        <v>1742468</v>
      </c>
      <c r="S11" s="63">
        <v>7744</v>
      </c>
      <c r="T11" s="63"/>
      <c r="U11" s="63">
        <v>2289465.2000000002</v>
      </c>
      <c r="V11" s="63">
        <v>7744</v>
      </c>
      <c r="W11" s="63">
        <v>7744</v>
      </c>
      <c r="X11" s="63"/>
      <c r="Y11" s="63">
        <f>7744+2944941.6</f>
        <v>2952685.6</v>
      </c>
      <c r="Z11" s="63">
        <f>1001767.6</f>
        <v>1001767.6</v>
      </c>
      <c r="AA11" s="63">
        <v>7744</v>
      </c>
      <c r="AB11" s="63"/>
      <c r="AC11" s="63">
        <v>7744</v>
      </c>
      <c r="AD11" s="63">
        <f>827852.4+7744</f>
        <v>835596.4</v>
      </c>
      <c r="AE11" s="63"/>
      <c r="AF11" s="63">
        <f>7744+2359128</f>
        <v>2366872</v>
      </c>
      <c r="AG11" s="63">
        <v>7744</v>
      </c>
      <c r="AH11" s="63"/>
      <c r="AI11" s="63"/>
      <c r="AJ11" s="63"/>
      <c r="AK11" s="63"/>
      <c r="AL11" s="63"/>
      <c r="AM11" s="63"/>
      <c r="AN11" s="63">
        <f>7478737.2+6244240.2</f>
        <v>13722977.4</v>
      </c>
      <c r="AO11" s="64">
        <f t="shared" si="1"/>
        <v>0</v>
      </c>
    </row>
    <row r="12" spans="2:41" ht="78.75" x14ac:dyDescent="0.25">
      <c r="B12" s="65">
        <v>19</v>
      </c>
      <c r="C12" s="66">
        <v>1160</v>
      </c>
      <c r="D12" s="108" t="s">
        <v>115</v>
      </c>
      <c r="E12" s="67" t="s">
        <v>73</v>
      </c>
      <c r="F12" s="68">
        <v>3033505.38</v>
      </c>
      <c r="G12" s="63">
        <f t="shared" si="0"/>
        <v>963699.3</v>
      </c>
      <c r="H12" s="150"/>
      <c r="I12" s="149"/>
      <c r="J12" s="148"/>
      <c r="K12" s="147"/>
      <c r="L12" s="145"/>
      <c r="M12" s="144"/>
      <c r="N12" s="140"/>
      <c r="O12" s="139"/>
      <c r="P12" s="129"/>
      <c r="Q12" s="128"/>
      <c r="R12" s="120"/>
      <c r="S12" s="107"/>
      <c r="T12" s="103"/>
      <c r="U12" s="68"/>
      <c r="V12" s="68"/>
      <c r="W12" s="68"/>
      <c r="X12" s="68"/>
      <c r="Y12" s="68"/>
      <c r="Z12" s="68"/>
      <c r="AA12" s="68">
        <v>457598.7</v>
      </c>
      <c r="AB12" s="68"/>
      <c r="AC12" s="68"/>
      <c r="AD12" s="68"/>
      <c r="AE12" s="68"/>
      <c r="AF12" s="68">
        <v>506100.6</v>
      </c>
      <c r="AG12" s="68"/>
      <c r="AH12" s="68"/>
      <c r="AI12" s="68"/>
      <c r="AJ12" s="68"/>
      <c r="AK12" s="68"/>
      <c r="AL12" s="68"/>
      <c r="AM12" s="68"/>
      <c r="AN12" s="68">
        <v>963699.3</v>
      </c>
      <c r="AO12" s="69">
        <f t="shared" si="1"/>
        <v>0</v>
      </c>
    </row>
    <row r="13" spans="2:41" ht="31.5" x14ac:dyDescent="0.25">
      <c r="B13" s="60">
        <v>52</v>
      </c>
      <c r="C13" s="61">
        <v>101131</v>
      </c>
      <c r="D13" s="111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150"/>
      <c r="I13" s="149"/>
      <c r="J13" s="148"/>
      <c r="K13" s="147"/>
      <c r="L13" s="145"/>
      <c r="M13" s="144"/>
      <c r="N13" s="142"/>
      <c r="O13" s="139">
        <f>28800+1311015.47</f>
        <v>1339815.47</v>
      </c>
      <c r="P13" s="129"/>
      <c r="Q13" s="128">
        <f>203530.93+19781.95</f>
        <v>223312.88</v>
      </c>
      <c r="R13" s="120">
        <v>377099.51</v>
      </c>
      <c r="S13" s="107">
        <f>18770+960081.76</f>
        <v>978851.76</v>
      </c>
      <c r="T13" s="103"/>
      <c r="U13" s="68">
        <f>1818431.56+28800</f>
        <v>1847231.56</v>
      </c>
      <c r="V13" s="68"/>
      <c r="W13" s="68">
        <v>1534698.28</v>
      </c>
      <c r="X13" s="68">
        <v>226408.02</v>
      </c>
      <c r="Y13" s="68"/>
      <c r="Z13" s="68"/>
      <c r="AA13" s="68"/>
      <c r="AB13" s="68"/>
      <c r="AC13" s="68"/>
      <c r="AD13" s="68"/>
      <c r="AE13" s="63">
        <v>11762.53</v>
      </c>
      <c r="AF13" s="63"/>
      <c r="AG13" s="63"/>
      <c r="AH13" s="63"/>
      <c r="AI13" s="63"/>
      <c r="AJ13" s="63"/>
      <c r="AK13" s="63"/>
      <c r="AL13" s="63"/>
      <c r="AM13" s="63"/>
      <c r="AN13" s="63">
        <v>1638374.03</v>
      </c>
      <c r="AO13" s="69">
        <f t="shared" si="1"/>
        <v>4900805.9799999995</v>
      </c>
    </row>
    <row r="14" spans="2:41" ht="31.5" customHeight="1" x14ac:dyDescent="0.25">
      <c r="B14" s="65">
        <v>52</v>
      </c>
      <c r="C14" s="66">
        <v>101256</v>
      </c>
      <c r="D14" s="111" t="s">
        <v>113</v>
      </c>
      <c r="E14" s="67" t="s">
        <v>49</v>
      </c>
      <c r="F14" s="68">
        <v>655578</v>
      </c>
      <c r="G14" s="63">
        <f t="shared" si="0"/>
        <v>655578</v>
      </c>
      <c r="H14" s="150"/>
      <c r="I14" s="149"/>
      <c r="J14" s="148"/>
      <c r="K14" s="147"/>
      <c r="L14" s="145"/>
      <c r="M14" s="144"/>
      <c r="N14" s="142"/>
      <c r="O14" s="139"/>
      <c r="P14" s="129"/>
      <c r="Q14" s="128"/>
      <c r="R14" s="120"/>
      <c r="S14" s="107"/>
      <c r="T14" s="103"/>
      <c r="U14" s="68"/>
      <c r="V14" s="68"/>
      <c r="W14" s="68">
        <f>1036620.14-382246.14</f>
        <v>654374</v>
      </c>
      <c r="X14" s="68"/>
      <c r="Y14" s="68"/>
      <c r="Z14" s="68"/>
      <c r="AA14" s="68"/>
      <c r="AB14" s="68"/>
      <c r="AC14" s="68"/>
      <c r="AD14" s="68"/>
      <c r="AE14" s="68">
        <v>1204</v>
      </c>
      <c r="AF14" s="68"/>
      <c r="AG14" s="68"/>
      <c r="AH14" s="68"/>
      <c r="AI14" s="68"/>
      <c r="AJ14" s="68"/>
      <c r="AK14" s="68"/>
      <c r="AL14" s="68"/>
      <c r="AM14" s="68"/>
      <c r="AN14" s="68"/>
      <c r="AO14" s="69">
        <f t="shared" si="1"/>
        <v>655578</v>
      </c>
    </row>
    <row r="15" spans="2:41" ht="15.75" x14ac:dyDescent="0.25">
      <c r="B15" s="65">
        <v>52</v>
      </c>
      <c r="C15" s="66">
        <v>101019</v>
      </c>
      <c r="D15" s="111" t="s">
        <v>113</v>
      </c>
      <c r="E15" s="67" t="s">
        <v>51</v>
      </c>
      <c r="F15" s="68">
        <v>4174276</v>
      </c>
      <c r="G15" s="63">
        <f t="shared" si="0"/>
        <v>3304953.54</v>
      </c>
      <c r="H15" s="150">
        <v>1602054.33</v>
      </c>
      <c r="I15" s="149">
        <v>6050</v>
      </c>
      <c r="J15" s="148"/>
      <c r="K15" s="147"/>
      <c r="L15" s="145">
        <v>9680</v>
      </c>
      <c r="M15" s="144">
        <f>1635139.21+15730</f>
        <v>1650869.21</v>
      </c>
      <c r="N15" s="142"/>
      <c r="O15" s="139"/>
      <c r="P15" s="129"/>
      <c r="Q15" s="128"/>
      <c r="R15" s="120"/>
      <c r="S15" s="107"/>
      <c r="T15" s="103">
        <v>21780</v>
      </c>
      <c r="U15" s="68"/>
      <c r="V15" s="68"/>
      <c r="W15" s="68"/>
      <c r="X15" s="68"/>
      <c r="Y15" s="68"/>
      <c r="Z15" s="68"/>
      <c r="AA15" s="68"/>
      <c r="AB15" s="68"/>
      <c r="AC15" s="68"/>
      <c r="AD15" s="68">
        <v>14520</v>
      </c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9">
        <f>G15-AN15</f>
        <v>3304953.54</v>
      </c>
    </row>
    <row r="16" spans="2:41" ht="31.5" x14ac:dyDescent="0.25">
      <c r="B16" s="60">
        <v>52</v>
      </c>
      <c r="C16" s="61">
        <v>101141</v>
      </c>
      <c r="D16" s="111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>
        <v>1281249.6499999999</v>
      </c>
      <c r="T16" s="63"/>
      <c r="U16" s="63"/>
      <c r="V16" s="63">
        <f>3840+1728282.44</f>
        <v>1732122.44</v>
      </c>
      <c r="W16" s="63">
        <f>3840+1685476.96+168136.57</f>
        <v>1857453.53</v>
      </c>
      <c r="X16" s="63"/>
      <c r="Y16" s="63">
        <f>5760+800650.35</f>
        <v>806410.35</v>
      </c>
      <c r="Z16" s="63">
        <v>17424</v>
      </c>
      <c r="AA16" s="63"/>
      <c r="AB16" s="63"/>
      <c r="AC16" s="63"/>
      <c r="AD16" s="63">
        <v>11616</v>
      </c>
      <c r="AE16" s="63"/>
      <c r="AF16" s="63"/>
      <c r="AG16" s="63"/>
      <c r="AH16" s="63"/>
      <c r="AI16" s="63"/>
      <c r="AJ16" s="63"/>
      <c r="AK16" s="63"/>
      <c r="AL16" s="63"/>
      <c r="AM16" s="63"/>
      <c r="AN16" s="63">
        <f>2232246.52+2475571.08</f>
        <v>4707817.5999999996</v>
      </c>
      <c r="AO16" s="69">
        <f t="shared" ref="AO16:AO18" si="2">G16-AN16</f>
        <v>998458.37000000011</v>
      </c>
    </row>
    <row r="17" spans="2:41" ht="31.5" x14ac:dyDescent="0.25">
      <c r="B17" s="60">
        <v>52</v>
      </c>
      <c r="C17" s="61">
        <v>101257</v>
      </c>
      <c r="D17" s="111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/>
      <c r="L17" s="63"/>
      <c r="M17" s="63"/>
      <c r="N17" s="63"/>
      <c r="O17" s="63"/>
      <c r="P17" s="63"/>
      <c r="Q17" s="63">
        <v>225034.82</v>
      </c>
      <c r="R17" s="63">
        <v>426146.03</v>
      </c>
      <c r="S17" s="63"/>
      <c r="T17" s="63"/>
      <c r="U17" s="63"/>
      <c r="V17" s="63"/>
      <c r="W17" s="63">
        <v>4625.6000000000004</v>
      </c>
      <c r="X17" s="63"/>
      <c r="Y17" s="63"/>
      <c r="Z17" s="63"/>
      <c r="AA17" s="63"/>
      <c r="AB17" s="63"/>
      <c r="AC17" s="63"/>
      <c r="AD17" s="63">
        <v>3084.2</v>
      </c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9">
        <f t="shared" si="2"/>
        <v>658890.65</v>
      </c>
    </row>
    <row r="18" spans="2:41" ht="31.5" x14ac:dyDescent="0.25">
      <c r="B18" s="60">
        <v>52</v>
      </c>
      <c r="C18" s="61">
        <v>101088</v>
      </c>
      <c r="D18" s="111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/>
      <c r="L18" s="63"/>
      <c r="M18" s="63"/>
      <c r="N18" s="63"/>
      <c r="O18" s="63"/>
      <c r="P18" s="63"/>
      <c r="Q18" s="63">
        <v>361383.69</v>
      </c>
      <c r="R18" s="63">
        <v>1021703.67</v>
      </c>
      <c r="S18" s="63"/>
      <c r="T18" s="63"/>
      <c r="U18" s="63">
        <v>471491.5</v>
      </c>
      <c r="V18" s="63"/>
      <c r="W18" s="63">
        <v>14780.8</v>
      </c>
      <c r="X18" s="63"/>
      <c r="Y18" s="63"/>
      <c r="Z18" s="63"/>
      <c r="AA18" s="63"/>
      <c r="AB18" s="63"/>
      <c r="AC18" s="63"/>
      <c r="AD18" s="63">
        <v>9853.6</v>
      </c>
      <c r="AE18" s="63"/>
      <c r="AF18" s="63"/>
      <c r="AG18" s="63"/>
      <c r="AH18" s="63"/>
      <c r="AI18" s="63"/>
      <c r="AJ18" s="63"/>
      <c r="AK18" s="63"/>
      <c r="AL18" s="63"/>
      <c r="AM18" s="63"/>
      <c r="AN18" s="63">
        <f>1296960.25+237519.36</f>
        <v>1534479.6099999999</v>
      </c>
      <c r="AO18" s="69">
        <f t="shared" si="2"/>
        <v>344733.65000000037</v>
      </c>
    </row>
    <row r="19" spans="2:41" ht="31.5" x14ac:dyDescent="0.25">
      <c r="B19" s="65">
        <v>19</v>
      </c>
      <c r="C19" s="66">
        <v>1128</v>
      </c>
      <c r="D19" s="108" t="s">
        <v>116</v>
      </c>
      <c r="E19" s="67" t="s">
        <v>105</v>
      </c>
      <c r="F19" s="68">
        <v>2367129.3199999998</v>
      </c>
      <c r="G19" s="63">
        <f t="shared" si="0"/>
        <v>2229947.0099999998</v>
      </c>
      <c r="H19" s="150"/>
      <c r="I19" s="149"/>
      <c r="J19" s="148"/>
      <c r="K19" s="147"/>
      <c r="L19" s="145"/>
      <c r="M19" s="144"/>
      <c r="N19" s="142"/>
      <c r="O19" s="139"/>
      <c r="P19" s="129">
        <v>1080287.99</v>
      </c>
      <c r="Q19" s="128"/>
      <c r="R19" s="120">
        <v>84257.02</v>
      </c>
      <c r="S19" s="107"/>
      <c r="T19" s="103">
        <v>1045800</v>
      </c>
      <c r="U19" s="68"/>
      <c r="V19" s="68"/>
      <c r="W19" s="68"/>
      <c r="X19" s="68"/>
      <c r="Y19" s="68"/>
      <c r="Z19" s="68"/>
      <c r="AA19" s="68"/>
      <c r="AB19" s="68"/>
      <c r="AC19" s="68"/>
      <c r="AD19" s="68">
        <v>19602</v>
      </c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9">
        <f>G19-AN19</f>
        <v>2229947.0099999998</v>
      </c>
    </row>
    <row r="20" spans="2:41" ht="31.5" x14ac:dyDescent="0.25">
      <c r="B20" s="60">
        <v>52</v>
      </c>
      <c r="C20" s="61">
        <v>101022</v>
      </c>
      <c r="D20" s="111" t="s">
        <v>113</v>
      </c>
      <c r="E20" s="62" t="s">
        <v>59</v>
      </c>
      <c r="F20" s="63">
        <v>8717805.1999999993</v>
      </c>
      <c r="G20" s="63">
        <f t="shared" si="0"/>
        <v>1016069.16</v>
      </c>
      <c r="H20" s="150"/>
      <c r="I20" s="149"/>
      <c r="J20" s="148"/>
      <c r="K20" s="147"/>
      <c r="L20" s="145"/>
      <c r="M20" s="144"/>
      <c r="N20" s="142"/>
      <c r="O20" s="139">
        <v>990490.73</v>
      </c>
      <c r="P20" s="129"/>
      <c r="Q20" s="128"/>
      <c r="R20" s="120"/>
      <c r="S20" s="107"/>
      <c r="T20" s="103"/>
      <c r="U20" s="68"/>
      <c r="V20" s="68"/>
      <c r="W20" s="68"/>
      <c r="X20" s="68">
        <v>15347.06</v>
      </c>
      <c r="Y20" s="68"/>
      <c r="Z20" s="68"/>
      <c r="AA20" s="68"/>
      <c r="AB20" s="63">
        <v>10231.370000000001</v>
      </c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9">
        <f t="shared" ref="AO20:AO33" si="3">G20-AN20</f>
        <v>1016069.16</v>
      </c>
    </row>
    <row r="21" spans="2:41" ht="31.5" x14ac:dyDescent="0.25">
      <c r="B21" s="65">
        <v>52</v>
      </c>
      <c r="C21" s="66">
        <v>101253</v>
      </c>
      <c r="D21" s="111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150"/>
      <c r="I21" s="149"/>
      <c r="J21" s="148"/>
      <c r="K21" s="147"/>
      <c r="L21" s="145"/>
      <c r="M21" s="144"/>
      <c r="N21" s="142"/>
      <c r="O21" s="139">
        <f>26784.85+1733358.77</f>
        <v>1760143.62</v>
      </c>
      <c r="P21" s="129"/>
      <c r="Q21" s="128">
        <f>26784.85+904220.78</f>
        <v>931005.63</v>
      </c>
      <c r="R21" s="120">
        <f>2005726.49+33481.06</f>
        <v>2039207.55</v>
      </c>
      <c r="S21" s="107">
        <v>47869.05</v>
      </c>
      <c r="T21" s="103"/>
      <c r="U21" s="68"/>
      <c r="V21" s="68"/>
      <c r="W21" s="68"/>
      <c r="X21" s="68">
        <v>7651.46</v>
      </c>
      <c r="Y21" s="68"/>
      <c r="Z21" s="68"/>
      <c r="AA21" s="68"/>
      <c r="AB21" s="68">
        <v>5100.97</v>
      </c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>
        <v>361806.95</v>
      </c>
      <c r="AO21" s="69">
        <f t="shared" si="3"/>
        <v>4429171.3299999991</v>
      </c>
    </row>
    <row r="22" spans="2:41" ht="31.5" x14ac:dyDescent="0.25">
      <c r="B22" s="60">
        <v>19</v>
      </c>
      <c r="C22" s="61">
        <v>1216</v>
      </c>
      <c r="D22" s="117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>
        <v>34135.199999999997</v>
      </c>
      <c r="S22" s="63"/>
      <c r="T22" s="63">
        <f>196510.5+1722767.4</f>
        <v>1919277.9</v>
      </c>
      <c r="U22" s="63"/>
      <c r="V22" s="63"/>
      <c r="W22" s="63"/>
      <c r="X22" s="63"/>
      <c r="Y22" s="63"/>
      <c r="Z22" s="63"/>
      <c r="AA22" s="63"/>
      <c r="AB22" s="63">
        <v>10890</v>
      </c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4">
        <f t="shared" si="3"/>
        <v>1964303.0999999999</v>
      </c>
    </row>
    <row r="23" spans="2:41" ht="15.75" x14ac:dyDescent="0.25">
      <c r="B23" s="65">
        <v>59</v>
      </c>
      <c r="C23" s="66">
        <v>101135</v>
      </c>
      <c r="D23" s="111" t="s">
        <v>113</v>
      </c>
      <c r="E23" s="67" t="s">
        <v>62</v>
      </c>
      <c r="F23" s="68">
        <v>25154862.300000001</v>
      </c>
      <c r="G23" s="63">
        <f t="shared" si="0"/>
        <v>1742400</v>
      </c>
      <c r="H23" s="150"/>
      <c r="I23" s="149"/>
      <c r="J23" s="148"/>
      <c r="K23" s="147"/>
      <c r="L23" s="145"/>
      <c r="M23" s="144"/>
      <c r="N23" s="142"/>
      <c r="O23" s="139"/>
      <c r="P23" s="129"/>
      <c r="Q23" s="128"/>
      <c r="R23" s="120"/>
      <c r="S23" s="107"/>
      <c r="T23" s="103"/>
      <c r="U23" s="68"/>
      <c r="V23" s="68"/>
      <c r="W23" s="68"/>
      <c r="X23" s="68"/>
      <c r="Y23" s="68"/>
      <c r="Z23" s="68"/>
      <c r="AA23" s="68"/>
      <c r="AB23" s="68">
        <f>96800+1645600</f>
        <v>1742400</v>
      </c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>
        <v>1742400</v>
      </c>
      <c r="AO23" s="69">
        <f t="shared" si="3"/>
        <v>0</v>
      </c>
    </row>
    <row r="24" spans="2:41" ht="15.75" x14ac:dyDescent="0.25">
      <c r="B24" s="60">
        <v>52</v>
      </c>
      <c r="C24" s="61">
        <v>101139</v>
      </c>
      <c r="D24" s="111" t="s">
        <v>113</v>
      </c>
      <c r="E24" s="62" t="s">
        <v>63</v>
      </c>
      <c r="F24" s="63">
        <v>9166485.5999999996</v>
      </c>
      <c r="G24" s="63">
        <f t="shared" si="0"/>
        <v>7342026.0299999993</v>
      </c>
      <c r="H24" s="63">
        <v>473987.58</v>
      </c>
      <c r="I24" s="63">
        <v>1350327.26</v>
      </c>
      <c r="J24" s="63"/>
      <c r="K24" s="63"/>
      <c r="L24" s="63">
        <v>602805.02</v>
      </c>
      <c r="M24" s="63">
        <v>359915.87</v>
      </c>
      <c r="N24" s="63"/>
      <c r="O24" s="63">
        <f>1084855.23-6343.1</f>
        <v>1078512.1299999999</v>
      </c>
      <c r="P24" s="63"/>
      <c r="Q24" s="63">
        <v>910338.45</v>
      </c>
      <c r="R24" s="63">
        <v>293046.09999999998</v>
      </c>
      <c r="S24" s="63"/>
      <c r="T24" s="63"/>
      <c r="U24" s="63"/>
      <c r="V24" s="63"/>
      <c r="W24" s="63"/>
      <c r="X24" s="63">
        <v>701231.24</v>
      </c>
      <c r="Y24" s="63">
        <v>1091457.3899999999</v>
      </c>
      <c r="Z24" s="63">
        <v>5092.2</v>
      </c>
      <c r="AA24" s="63">
        <v>427798.52</v>
      </c>
      <c r="AB24" s="63">
        <f>44874.59+2639.68</f>
        <v>47514.27</v>
      </c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>
        <v>1753633.07</v>
      </c>
      <c r="AO24" s="64">
        <f t="shared" si="3"/>
        <v>5588392.959999999</v>
      </c>
    </row>
    <row r="25" spans="2:41" ht="31.5" x14ac:dyDescent="0.25">
      <c r="B25" s="65">
        <v>52</v>
      </c>
      <c r="C25" s="66">
        <v>101152</v>
      </c>
      <c r="D25" s="111" t="s">
        <v>113</v>
      </c>
      <c r="E25" s="67" t="s">
        <v>64</v>
      </c>
      <c r="F25" s="68">
        <v>22320370.449999999</v>
      </c>
      <c r="G25" s="63">
        <f t="shared" si="0"/>
        <v>20526519.559999999</v>
      </c>
      <c r="H25" s="150"/>
      <c r="I25" s="149"/>
      <c r="J25" s="148"/>
      <c r="K25" s="147"/>
      <c r="L25" s="145"/>
      <c r="M25" s="144">
        <v>4459468.4800000004</v>
      </c>
      <c r="N25" s="142"/>
      <c r="O25" s="139">
        <v>3721675.46</v>
      </c>
      <c r="P25" s="129">
        <v>20691</v>
      </c>
      <c r="Q25" s="128">
        <v>3549313.4</v>
      </c>
      <c r="R25" s="120">
        <f>20691+20691</f>
        <v>41382</v>
      </c>
      <c r="S25" s="107">
        <v>1851669.16</v>
      </c>
      <c r="T25" s="103"/>
      <c r="U25" s="68">
        <v>20691</v>
      </c>
      <c r="V25" s="68">
        <v>940322.64</v>
      </c>
      <c r="W25" s="68">
        <f>20691+1446397.62</f>
        <v>1467088.62</v>
      </c>
      <c r="X25" s="68">
        <v>20691</v>
      </c>
      <c r="Y25" s="68">
        <v>1089444.99</v>
      </c>
      <c r="Z25" s="68">
        <v>4602.6000000000004</v>
      </c>
      <c r="AA25" s="68">
        <f>31581+2740306.31</f>
        <v>2771887.31</v>
      </c>
      <c r="AB25" s="68">
        <v>567591.9</v>
      </c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>
        <v>6882320.0599999996</v>
      </c>
      <c r="AO25" s="69">
        <f t="shared" si="3"/>
        <v>13644199.5</v>
      </c>
    </row>
    <row r="26" spans="2:41" ht="31.5" x14ac:dyDescent="0.25">
      <c r="B26" s="65">
        <v>52</v>
      </c>
      <c r="C26" s="66">
        <v>101251</v>
      </c>
      <c r="D26" s="111" t="s">
        <v>113</v>
      </c>
      <c r="E26" s="67" t="s">
        <v>65</v>
      </c>
      <c r="F26" s="68">
        <v>8148556.5</v>
      </c>
      <c r="G26" s="63">
        <f t="shared" si="0"/>
        <v>15029</v>
      </c>
      <c r="H26" s="150"/>
      <c r="I26" s="149"/>
      <c r="J26" s="148"/>
      <c r="K26" s="147"/>
      <c r="L26" s="145"/>
      <c r="M26" s="144"/>
      <c r="N26" s="142"/>
      <c r="O26" s="139"/>
      <c r="P26" s="129"/>
      <c r="Q26" s="128"/>
      <c r="R26" s="120"/>
      <c r="S26" s="107"/>
      <c r="T26" s="103"/>
      <c r="U26" s="68">
        <v>8349.6</v>
      </c>
      <c r="V26" s="68"/>
      <c r="W26" s="68"/>
      <c r="X26" s="68"/>
      <c r="Y26" s="68"/>
      <c r="Z26" s="68"/>
      <c r="AA26" s="68"/>
      <c r="AB26" s="68">
        <v>6679.4</v>
      </c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9">
        <f t="shared" si="3"/>
        <v>15029</v>
      </c>
    </row>
    <row r="27" spans="2:41" ht="31.5" x14ac:dyDescent="0.25">
      <c r="B27" s="65">
        <v>52</v>
      </c>
      <c r="C27" s="66">
        <v>101113</v>
      </c>
      <c r="D27" s="111" t="s">
        <v>113</v>
      </c>
      <c r="E27" s="67" t="s">
        <v>66</v>
      </c>
      <c r="F27" s="68">
        <v>7222500.7999999998</v>
      </c>
      <c r="G27" s="63">
        <f>SUM(H27:AM27)</f>
        <v>17548</v>
      </c>
      <c r="H27" s="150"/>
      <c r="I27" s="149"/>
      <c r="J27" s="148"/>
      <c r="K27" s="147"/>
      <c r="L27" s="145"/>
      <c r="M27" s="144"/>
      <c r="N27" s="142"/>
      <c r="O27" s="139"/>
      <c r="P27" s="129"/>
      <c r="Q27" s="128"/>
      <c r="R27" s="120"/>
      <c r="S27" s="107"/>
      <c r="T27" s="103"/>
      <c r="U27" s="68">
        <v>9748.7999999999993</v>
      </c>
      <c r="V27" s="68"/>
      <c r="W27" s="68"/>
      <c r="X27" s="68"/>
      <c r="Y27" s="68"/>
      <c r="Z27" s="68"/>
      <c r="AA27" s="68"/>
      <c r="AB27" s="68">
        <v>7799.2</v>
      </c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9">
        <f t="shared" si="3"/>
        <v>17548</v>
      </c>
    </row>
    <row r="28" spans="2:41" ht="32.25" thickBot="1" x14ac:dyDescent="0.3">
      <c r="B28" s="70">
        <v>52</v>
      </c>
      <c r="C28" s="71">
        <v>101255</v>
      </c>
      <c r="D28" s="112" t="s">
        <v>113</v>
      </c>
      <c r="E28" s="72" t="s">
        <v>67</v>
      </c>
      <c r="F28" s="73">
        <v>8159082.4000000004</v>
      </c>
      <c r="G28" s="73">
        <f>SUM(H28:AM28)</f>
        <v>15303.400000000001</v>
      </c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>
        <v>8502.2000000000007</v>
      </c>
      <c r="V28" s="73"/>
      <c r="W28" s="73"/>
      <c r="X28" s="73"/>
      <c r="Y28" s="73"/>
      <c r="Z28" s="73"/>
      <c r="AA28" s="73"/>
      <c r="AB28" s="73">
        <v>6801.2</v>
      </c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4">
        <f t="shared" si="3"/>
        <v>15303.400000000001</v>
      </c>
    </row>
    <row r="29" spans="2:41" ht="32.25" thickTop="1" x14ac:dyDescent="0.25">
      <c r="B29" s="75">
        <v>52</v>
      </c>
      <c r="C29" s="76">
        <v>101130</v>
      </c>
      <c r="D29" s="113" t="s">
        <v>113</v>
      </c>
      <c r="E29" s="77" t="s">
        <v>68</v>
      </c>
      <c r="F29" s="78">
        <v>9140694.5</v>
      </c>
      <c r="G29" s="80">
        <f>SUM(H29:AM29)</f>
        <v>21739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>
        <v>12077</v>
      </c>
      <c r="V29" s="78"/>
      <c r="W29" s="78"/>
      <c r="X29" s="78"/>
      <c r="Y29" s="78"/>
      <c r="Z29" s="78"/>
      <c r="AA29" s="78"/>
      <c r="AB29" s="78">
        <v>9662</v>
      </c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9">
        <f t="shared" si="3"/>
        <v>21739</v>
      </c>
    </row>
    <row r="30" spans="2:41" ht="15.75" x14ac:dyDescent="0.25">
      <c r="B30" s="65">
        <v>12</v>
      </c>
      <c r="C30" s="66">
        <v>1600</v>
      </c>
      <c r="D30" s="111" t="s">
        <v>114</v>
      </c>
      <c r="E30" s="67" t="s">
        <v>69</v>
      </c>
      <c r="F30" s="68">
        <v>148836202.09999999</v>
      </c>
      <c r="G30" s="63">
        <f>SUM(H30:AM30)</f>
        <v>35403642.129999995</v>
      </c>
      <c r="H30" s="150"/>
      <c r="I30" s="149"/>
      <c r="J30" s="148"/>
      <c r="K30" s="147"/>
      <c r="L30" s="145"/>
      <c r="M30" s="144"/>
      <c r="N30" s="142"/>
      <c r="O30" s="139"/>
      <c r="P30" s="129"/>
      <c r="Q30" s="128"/>
      <c r="R30" s="120"/>
      <c r="S30" s="107"/>
      <c r="T30" s="103"/>
      <c r="U30" s="68"/>
      <c r="V30" s="68"/>
      <c r="W30" s="68"/>
      <c r="X30" s="68"/>
      <c r="Y30" s="68"/>
      <c r="Z30" s="68">
        <f>44745.3+17404837.93+9855.9</f>
        <v>17459439.129999999</v>
      </c>
      <c r="AA30" s="68"/>
      <c r="AB30" s="68">
        <v>17944203</v>
      </c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>
        <v>35403642.130000003</v>
      </c>
      <c r="AO30" s="69">
        <f t="shared" si="3"/>
        <v>0</v>
      </c>
    </row>
    <row r="31" spans="2:41" ht="31.5" x14ac:dyDescent="0.25">
      <c r="B31" s="65">
        <v>19</v>
      </c>
      <c r="C31" s="66">
        <v>1204</v>
      </c>
      <c r="D31" s="108" t="s">
        <v>118</v>
      </c>
      <c r="E31" s="67" t="s">
        <v>89</v>
      </c>
      <c r="F31" s="68">
        <v>1814555.22</v>
      </c>
      <c r="G31" s="63">
        <f t="shared" ref="G31:G38" si="4">SUM(H31:AM31)</f>
        <v>1726955.35</v>
      </c>
      <c r="H31" s="150"/>
      <c r="I31" s="149"/>
      <c r="J31" s="148"/>
      <c r="K31" s="147"/>
      <c r="L31" s="145"/>
      <c r="M31" s="144"/>
      <c r="N31" s="142"/>
      <c r="O31" s="139"/>
      <c r="P31" s="129"/>
      <c r="Q31" s="128"/>
      <c r="R31" s="120"/>
      <c r="S31" s="107"/>
      <c r="T31" s="103"/>
      <c r="U31" s="68"/>
      <c r="V31" s="68"/>
      <c r="W31" s="68"/>
      <c r="X31" s="68">
        <v>4793.2299999999996</v>
      </c>
      <c r="Y31" s="68"/>
      <c r="Z31" s="68"/>
      <c r="AA31" s="68">
        <f>1502273.87</f>
        <v>1502273.87</v>
      </c>
      <c r="AB31" s="68">
        <v>219888.25</v>
      </c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>
        <v>1726955.35</v>
      </c>
      <c r="AO31" s="69">
        <f t="shared" si="3"/>
        <v>0</v>
      </c>
    </row>
    <row r="32" spans="2:41" ht="15.75" x14ac:dyDescent="0.25">
      <c r="B32" s="65">
        <v>50</v>
      </c>
      <c r="C32" s="66">
        <v>100920</v>
      </c>
      <c r="D32" s="111" t="s">
        <v>113</v>
      </c>
      <c r="E32" s="67" t="s">
        <v>70</v>
      </c>
      <c r="F32" s="68">
        <v>80176109.400000006</v>
      </c>
      <c r="G32" s="63">
        <f t="shared" si="4"/>
        <v>56985045.070000008</v>
      </c>
      <c r="H32" s="150"/>
      <c r="I32" s="149"/>
      <c r="J32" s="148"/>
      <c r="K32" s="147">
        <v>2395.8000000000002</v>
      </c>
      <c r="L32" s="145"/>
      <c r="M32" s="144">
        <v>4413171.76</v>
      </c>
      <c r="N32" s="142">
        <f>9583.2+39029.76</f>
        <v>48612.960000000006</v>
      </c>
      <c r="O32" s="139">
        <f>39029.76+9515077.89+11979+306128.15</f>
        <v>9872214.8000000007</v>
      </c>
      <c r="P32" s="129"/>
      <c r="Q32" s="128">
        <f>39029.76+9583.2+5077846.77</f>
        <v>5126459.7299999995</v>
      </c>
      <c r="R32" s="120"/>
      <c r="S32" s="107">
        <f>39029.76+9583.2+27782426.64</f>
        <v>27831039.600000001</v>
      </c>
      <c r="T32" s="103"/>
      <c r="U32" s="68">
        <f>9531720.82+21954.24+11325.6+39029.76</f>
        <v>9604030.4199999999</v>
      </c>
      <c r="V32" s="68"/>
      <c r="W32" s="68"/>
      <c r="X32" s="68"/>
      <c r="Y32" s="68">
        <v>52272</v>
      </c>
      <c r="Z32" s="68"/>
      <c r="AA32" s="68"/>
      <c r="AB32" s="68">
        <v>34848</v>
      </c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>
        <v>37511649.75</v>
      </c>
      <c r="AO32" s="69">
        <f t="shared" si="3"/>
        <v>19473395.320000008</v>
      </c>
    </row>
    <row r="33" spans="2:43" ht="63" x14ac:dyDescent="0.25">
      <c r="B33" s="65">
        <v>59</v>
      </c>
      <c r="C33" s="66">
        <v>101157</v>
      </c>
      <c r="D33" s="111" t="s">
        <v>113</v>
      </c>
      <c r="E33" s="67" t="s">
        <v>74</v>
      </c>
      <c r="F33" s="68">
        <v>16521356.92</v>
      </c>
      <c r="G33" s="63">
        <f t="shared" si="4"/>
        <v>17354899.48</v>
      </c>
      <c r="H33" s="150"/>
      <c r="I33" s="149"/>
      <c r="J33" s="148"/>
      <c r="K33" s="147"/>
      <c r="L33" s="145">
        <f>485694+341319.82+227345.08</f>
        <v>1054358.9000000001</v>
      </c>
      <c r="M33" s="144">
        <f>1131498+616472.01</f>
        <v>1747970.01</v>
      </c>
      <c r="N33" s="142"/>
      <c r="O33" s="139">
        <f>965426.4+25110+3201.66+72407.6+3243331.99+871116.15</f>
        <v>5180593.8000000007</v>
      </c>
      <c r="P33" s="141">
        <v>1076306.6200000001</v>
      </c>
      <c r="Q33" s="128">
        <f>3243331.99+871116.15+72407.61</f>
        <v>4186855.75</v>
      </c>
      <c r="R33" s="120"/>
      <c r="S33" s="107">
        <v>2088989.1</v>
      </c>
      <c r="T33" s="103"/>
      <c r="U33" s="68"/>
      <c r="V33" s="68">
        <f>245922.85+14466.05+1269112.05+74653.65+19582.6+1151.9</f>
        <v>1624889.0999999999</v>
      </c>
      <c r="W33" s="68"/>
      <c r="X33" s="68"/>
      <c r="Y33" s="68">
        <f>256535.95+15090.35</f>
        <v>271626.3</v>
      </c>
      <c r="Z33" s="68"/>
      <c r="AA33" s="68">
        <f>116459.35+6850.55</f>
        <v>123309.90000000001</v>
      </c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>
        <f>1770503.08+2049230.16</f>
        <v>3819733.24</v>
      </c>
      <c r="AO33" s="69">
        <f t="shared" si="3"/>
        <v>13535166.24</v>
      </c>
    </row>
    <row r="34" spans="2:43" ht="31.5" x14ac:dyDescent="0.25">
      <c r="B34" s="65">
        <v>19</v>
      </c>
      <c r="C34" s="66">
        <v>1208</v>
      </c>
      <c r="D34" s="108" t="s">
        <v>119</v>
      </c>
      <c r="E34" s="67" t="s">
        <v>72</v>
      </c>
      <c r="F34" s="68">
        <v>2790000</v>
      </c>
      <c r="G34" s="63">
        <f t="shared" si="4"/>
        <v>1797719.73</v>
      </c>
      <c r="H34" s="150"/>
      <c r="I34" s="149"/>
      <c r="J34" s="148"/>
      <c r="K34" s="147"/>
      <c r="L34" s="145"/>
      <c r="M34" s="144"/>
      <c r="N34" s="142"/>
      <c r="O34" s="139"/>
      <c r="P34" s="129"/>
      <c r="Q34" s="128"/>
      <c r="R34" s="120"/>
      <c r="S34" s="107"/>
      <c r="T34" s="103"/>
      <c r="U34" s="68"/>
      <c r="V34" s="68"/>
      <c r="W34" s="68"/>
      <c r="X34" s="68"/>
      <c r="Y34" s="68">
        <v>1482639.27</v>
      </c>
      <c r="Z34" s="68"/>
      <c r="AA34" s="68">
        <f>364580.96-49500.5</f>
        <v>315080.46000000002</v>
      </c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9">
        <f>G34-AN34</f>
        <v>1797719.73</v>
      </c>
    </row>
    <row r="35" spans="2:43" ht="15.75" x14ac:dyDescent="0.25">
      <c r="B35" s="60">
        <v>12</v>
      </c>
      <c r="C35" s="61">
        <v>1600</v>
      </c>
      <c r="D35" s="111" t="s">
        <v>114</v>
      </c>
      <c r="E35" s="62" t="s">
        <v>75</v>
      </c>
      <c r="F35" s="63">
        <v>32403507.600000001</v>
      </c>
      <c r="G35" s="63">
        <f t="shared" si="4"/>
        <v>1776558.39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>
        <v>14033.92</v>
      </c>
      <c r="Z35" s="63">
        <v>1762524.47</v>
      </c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>
        <v>1776558.39</v>
      </c>
      <c r="AO35" s="64">
        <f>G35-AN35</f>
        <v>0</v>
      </c>
    </row>
    <row r="36" spans="2:43" ht="31.5" x14ac:dyDescent="0.25">
      <c r="B36" s="60">
        <v>19</v>
      </c>
      <c r="C36" s="61">
        <v>1106</v>
      </c>
      <c r="D36" s="117" t="s">
        <v>120</v>
      </c>
      <c r="E36" s="62" t="s">
        <v>76</v>
      </c>
      <c r="F36" s="63">
        <v>4107684.97</v>
      </c>
      <c r="G36" s="63">
        <f t="shared" si="4"/>
        <v>3407826.0700000003</v>
      </c>
      <c r="H36" s="63"/>
      <c r="I36" s="63"/>
      <c r="J36" s="63"/>
      <c r="K36" s="63"/>
      <c r="L36" s="63"/>
      <c r="M36" s="63"/>
      <c r="N36" s="63">
        <v>682986.07</v>
      </c>
      <c r="O36" s="63"/>
      <c r="P36" s="63">
        <v>794014.2</v>
      </c>
      <c r="Q36" s="63">
        <v>491514.3</v>
      </c>
      <c r="R36" s="63">
        <f>483652.8</f>
        <v>483652.8</v>
      </c>
      <c r="S36" s="63">
        <v>133947</v>
      </c>
      <c r="T36" s="63">
        <v>10890</v>
      </c>
      <c r="U36" s="63"/>
      <c r="V36" s="63">
        <v>412731</v>
      </c>
      <c r="W36" s="63">
        <v>387200.7</v>
      </c>
      <c r="X36" s="63"/>
      <c r="Y36" s="63"/>
      <c r="Z36" s="63">
        <v>10890</v>
      </c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4">
        <f t="shared" ref="AO36:AO46" si="5">G36-AN36</f>
        <v>3407826.0700000003</v>
      </c>
    </row>
    <row r="37" spans="2:43" ht="47.25" x14ac:dyDescent="0.25">
      <c r="B37" s="65">
        <v>19</v>
      </c>
      <c r="C37" s="66">
        <v>1205</v>
      </c>
      <c r="D37" s="108" t="s">
        <v>121</v>
      </c>
      <c r="E37" s="67" t="s">
        <v>77</v>
      </c>
      <c r="F37" s="68">
        <v>3356943.54</v>
      </c>
      <c r="G37" s="63">
        <f t="shared" si="4"/>
        <v>2396953.7999999998</v>
      </c>
      <c r="H37" s="150"/>
      <c r="I37" s="149"/>
      <c r="J37" s="148"/>
      <c r="K37" s="147"/>
      <c r="L37" s="145"/>
      <c r="M37" s="144"/>
      <c r="N37" s="142">
        <v>49549.5</v>
      </c>
      <c r="O37" s="139"/>
      <c r="P37" s="129">
        <v>43549.2</v>
      </c>
      <c r="Q37" s="128">
        <v>69794.100000000006</v>
      </c>
      <c r="R37" s="120"/>
      <c r="S37" s="107">
        <f>194441.4+1486485</f>
        <v>1680926.4</v>
      </c>
      <c r="T37" s="103">
        <v>114300</v>
      </c>
      <c r="U37" s="68"/>
      <c r="V37" s="68">
        <v>27225</v>
      </c>
      <c r="W37" s="68"/>
      <c r="X37" s="68"/>
      <c r="Y37" s="68"/>
      <c r="Z37" s="68">
        <v>411609.59999999998</v>
      </c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9">
        <f t="shared" si="5"/>
        <v>2396953.7999999998</v>
      </c>
    </row>
    <row r="38" spans="2:43" ht="31.5" x14ac:dyDescent="0.25">
      <c r="B38" s="65">
        <v>59</v>
      </c>
      <c r="C38" s="66">
        <v>101156</v>
      </c>
      <c r="D38" s="111" t="s">
        <v>113</v>
      </c>
      <c r="E38" s="67" t="s">
        <v>80</v>
      </c>
      <c r="F38" s="68">
        <v>12895764.300000001</v>
      </c>
      <c r="G38" s="63">
        <f t="shared" si="4"/>
        <v>12058471.300000001</v>
      </c>
      <c r="H38" s="150"/>
      <c r="I38" s="149"/>
      <c r="J38" s="148"/>
      <c r="K38" s="147"/>
      <c r="L38" s="145"/>
      <c r="M38" s="144">
        <v>19071.66</v>
      </c>
      <c r="N38" s="142">
        <v>3967247.7</v>
      </c>
      <c r="O38" s="139"/>
      <c r="P38" s="129">
        <v>1467177.03</v>
      </c>
      <c r="Q38" s="128">
        <v>1753330.04</v>
      </c>
      <c r="R38" s="120">
        <f>62204.4+22500+1542820.07+407873.7</f>
        <v>2035398.17</v>
      </c>
      <c r="S38" s="107">
        <v>20364.3</v>
      </c>
      <c r="T38" s="103"/>
      <c r="U38" s="68">
        <f>112679.2+1915546.4+4385+74545</f>
        <v>2107155.5999999996</v>
      </c>
      <c r="V38" s="68">
        <f>1197.9+20364.3</f>
        <v>21562.2</v>
      </c>
      <c r="W38" s="68"/>
      <c r="X38" s="68">
        <v>283959</v>
      </c>
      <c r="Y38" s="68">
        <v>383205.6</v>
      </c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>
        <f>2574752.58+9109869.51</f>
        <v>11684622.09</v>
      </c>
      <c r="AO38" s="69">
        <f t="shared" si="5"/>
        <v>373849.21000000089</v>
      </c>
      <c r="AQ38" s="119"/>
    </row>
    <row r="39" spans="2:43" ht="47.25" x14ac:dyDescent="0.25">
      <c r="B39" s="65">
        <v>19</v>
      </c>
      <c r="C39" s="66">
        <v>1142</v>
      </c>
      <c r="D39" s="108" t="s">
        <v>122</v>
      </c>
      <c r="E39" s="67" t="s">
        <v>81</v>
      </c>
      <c r="F39" s="68">
        <v>4365000</v>
      </c>
      <c r="G39" s="63">
        <f>SUM(H39:AM39)</f>
        <v>4228551.8999999994</v>
      </c>
      <c r="H39" s="150"/>
      <c r="I39" s="149"/>
      <c r="J39" s="148"/>
      <c r="K39" s="147"/>
      <c r="L39" s="145"/>
      <c r="M39" s="144"/>
      <c r="N39" s="142"/>
      <c r="O39" s="139"/>
      <c r="P39" s="129">
        <v>3424460.4</v>
      </c>
      <c r="Q39" s="128"/>
      <c r="R39" s="120"/>
      <c r="S39" s="107"/>
      <c r="T39" s="103">
        <v>432432.9</v>
      </c>
      <c r="U39" s="68"/>
      <c r="V39" s="68"/>
      <c r="W39" s="68"/>
      <c r="X39" s="68"/>
      <c r="Y39" s="68">
        <v>371658.6</v>
      </c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9">
        <f t="shared" si="5"/>
        <v>4228551.8999999994</v>
      </c>
    </row>
    <row r="40" spans="2:43" ht="24.95" customHeight="1" x14ac:dyDescent="0.25">
      <c r="B40" s="165">
        <v>52</v>
      </c>
      <c r="C40" s="66">
        <v>101050</v>
      </c>
      <c r="D40" s="176" t="s">
        <v>113</v>
      </c>
      <c r="E40" s="163" t="s">
        <v>82</v>
      </c>
      <c r="F40" s="167">
        <v>6250335.1500000004</v>
      </c>
      <c r="G40" s="167">
        <f>SUM(H41:AM41)+SUM(H40:AM40)</f>
        <v>6146069.1999999993</v>
      </c>
      <c r="H40" s="63"/>
      <c r="I40" s="63"/>
      <c r="J40" s="63"/>
      <c r="K40" s="63"/>
      <c r="L40" s="63"/>
      <c r="M40" s="63"/>
      <c r="N40" s="63"/>
      <c r="O40" s="63"/>
      <c r="P40" s="63">
        <f>380530.4+2976+8228</f>
        <v>391734.4</v>
      </c>
      <c r="Q40" s="63">
        <v>525921.6</v>
      </c>
      <c r="R40" s="63">
        <v>93748.4</v>
      </c>
      <c r="S40" s="63">
        <v>2980</v>
      </c>
      <c r="T40" s="63">
        <f>15488-4719</f>
        <v>10769</v>
      </c>
      <c r="U40" s="68">
        <f>3280+1017982.4+444381.6-444381.6</f>
        <v>1021262.4</v>
      </c>
      <c r="V40" s="68"/>
      <c r="W40" s="68">
        <f>1235620+7200</f>
        <v>1242820</v>
      </c>
      <c r="X40" s="68"/>
      <c r="Y40" s="68">
        <f>544272.4+7200</f>
        <v>551472.4</v>
      </c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167">
        <f>1870814.4+4275254.8</f>
        <v>6146069.1999999993</v>
      </c>
      <c r="AO40" s="171">
        <f>G40-AN40-AN41</f>
        <v>0</v>
      </c>
      <c r="AQ40" s="99"/>
    </row>
    <row r="41" spans="2:43" ht="24.95" customHeight="1" x14ac:dyDescent="0.25">
      <c r="B41" s="166"/>
      <c r="C41" s="98">
        <v>100700</v>
      </c>
      <c r="D41" s="177"/>
      <c r="E41" s="164"/>
      <c r="F41" s="168"/>
      <c r="G41" s="168"/>
      <c r="H41" s="151"/>
      <c r="I41" s="143"/>
      <c r="J41" s="143"/>
      <c r="K41" s="143"/>
      <c r="L41" s="143"/>
      <c r="M41" s="143"/>
      <c r="N41" s="143"/>
      <c r="O41" s="63"/>
      <c r="P41" s="63">
        <f>670314.8+5176+8228</f>
        <v>683718.8</v>
      </c>
      <c r="Q41" s="63">
        <v>967986.8</v>
      </c>
      <c r="R41" s="63">
        <f>187044.8+6160</f>
        <v>193204.8</v>
      </c>
      <c r="S41" s="107">
        <v>2480</v>
      </c>
      <c r="T41" s="103">
        <f>6050+4719</f>
        <v>10769</v>
      </c>
      <c r="U41" s="97">
        <f>2820+444381.6</f>
        <v>447201.6</v>
      </c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173"/>
      <c r="AO41" s="172"/>
    </row>
    <row r="42" spans="2:43" ht="31.5" x14ac:dyDescent="0.25">
      <c r="B42" s="65">
        <v>19</v>
      </c>
      <c r="C42" s="66">
        <v>1136</v>
      </c>
      <c r="D42" s="108" t="s">
        <v>123</v>
      </c>
      <c r="E42" s="67" t="s">
        <v>83</v>
      </c>
      <c r="F42" s="68">
        <v>3135292.13</v>
      </c>
      <c r="G42" s="63">
        <f>SUM(H42:AM42)</f>
        <v>2681999.2799999998</v>
      </c>
      <c r="H42" s="63"/>
      <c r="I42" s="63"/>
      <c r="J42" s="63"/>
      <c r="K42" s="63"/>
      <c r="L42" s="63"/>
      <c r="M42" s="63"/>
      <c r="N42" s="142"/>
      <c r="O42" s="139"/>
      <c r="P42" s="129"/>
      <c r="Q42" s="128"/>
      <c r="R42" s="120">
        <v>2123550</v>
      </c>
      <c r="S42" s="107"/>
      <c r="T42" s="103">
        <v>485370</v>
      </c>
      <c r="U42" s="68"/>
      <c r="V42" s="68"/>
      <c r="W42" s="68"/>
      <c r="X42" s="68">
        <v>10890</v>
      </c>
      <c r="Y42" s="68">
        <v>62189.279999999999</v>
      </c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9">
        <f t="shared" si="5"/>
        <v>2681999.2799999998</v>
      </c>
    </row>
    <row r="43" spans="2:43" ht="31.5" x14ac:dyDescent="0.25">
      <c r="B43" s="65">
        <v>19</v>
      </c>
      <c r="C43" s="66">
        <v>1108</v>
      </c>
      <c r="D43" s="108" t="s">
        <v>124</v>
      </c>
      <c r="E43" s="67" t="s">
        <v>84</v>
      </c>
      <c r="F43" s="68">
        <v>4005925.58</v>
      </c>
      <c r="G43" s="63">
        <f t="shared" ref="G43:G49" si="6">SUM(H43:AM43)</f>
        <v>3045540.66</v>
      </c>
      <c r="H43" s="150"/>
      <c r="I43" s="149"/>
      <c r="J43" s="148"/>
      <c r="K43" s="147"/>
      <c r="L43" s="145"/>
      <c r="M43" s="144"/>
      <c r="N43" s="142"/>
      <c r="O43" s="139">
        <v>818658.81</v>
      </c>
      <c r="P43" s="129">
        <v>173035.57</v>
      </c>
      <c r="Q43" s="128">
        <v>255302.91</v>
      </c>
      <c r="R43" s="120">
        <v>69804.899999999994</v>
      </c>
      <c r="S43" s="107">
        <v>1050090.3</v>
      </c>
      <c r="T43" s="103">
        <f>569533.01+10890</f>
        <v>580423.01</v>
      </c>
      <c r="U43" s="68"/>
      <c r="V43" s="68"/>
      <c r="W43" s="68">
        <v>87335.16</v>
      </c>
      <c r="X43" s="68"/>
      <c r="Y43" s="68">
        <v>10890</v>
      </c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9">
        <f t="shared" si="5"/>
        <v>3045540.66</v>
      </c>
    </row>
    <row r="44" spans="2:43" ht="31.5" x14ac:dyDescent="0.25">
      <c r="B44" s="65">
        <v>59</v>
      </c>
      <c r="C44" s="66">
        <v>101154</v>
      </c>
      <c r="D44" s="111" t="s">
        <v>113</v>
      </c>
      <c r="E44" s="67" t="s">
        <v>86</v>
      </c>
      <c r="F44" s="68">
        <v>10434308.4</v>
      </c>
      <c r="G44" s="63">
        <f t="shared" si="6"/>
        <v>7024123.5</v>
      </c>
      <c r="H44" s="150"/>
      <c r="I44" s="149"/>
      <c r="J44" s="148"/>
      <c r="K44" s="147"/>
      <c r="L44" s="146">
        <f>15246+3615371.1+352969.2+873337.57+22185.9+27116.1+3822.3+120922.2</f>
        <v>5030970.37</v>
      </c>
      <c r="M44" s="144">
        <f>265924.8+12109.5</f>
        <v>278034.3</v>
      </c>
      <c r="N44" s="142">
        <f>371186.1+148104</f>
        <v>519290.1</v>
      </c>
      <c r="O44" s="139">
        <f>126147.6-871.2</f>
        <v>125276.40000000001</v>
      </c>
      <c r="P44" s="129"/>
      <c r="Q44" s="128"/>
      <c r="R44" s="120">
        <f>669724.11+399085.82</f>
        <v>1068809.93</v>
      </c>
      <c r="S44" s="107"/>
      <c r="T44" s="103"/>
      <c r="U44" s="68"/>
      <c r="V44" s="68"/>
      <c r="W44" s="68">
        <f>822.8+48.4</f>
        <v>871.19999999999993</v>
      </c>
      <c r="X44" s="68">
        <f>822.8+48.4</f>
        <v>871.19999999999993</v>
      </c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9">
        <f t="shared" si="5"/>
        <v>7024123.5</v>
      </c>
    </row>
    <row r="45" spans="2:43" ht="31.5" x14ac:dyDescent="0.25">
      <c r="B45" s="65">
        <v>19</v>
      </c>
      <c r="C45" s="66">
        <v>1112</v>
      </c>
      <c r="D45" s="108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150"/>
      <c r="I45" s="149"/>
      <c r="J45" s="148"/>
      <c r="K45" s="147"/>
      <c r="L45" s="145"/>
      <c r="M45" s="144"/>
      <c r="N45" s="142"/>
      <c r="O45" s="139">
        <f>289965.6-4356</f>
        <v>285609.59999999998</v>
      </c>
      <c r="P45" s="129">
        <v>20745.45</v>
      </c>
      <c r="Q45" s="128">
        <v>438104.7</v>
      </c>
      <c r="R45" s="120"/>
      <c r="S45" s="107"/>
      <c r="T45" s="103">
        <v>635540.4</v>
      </c>
      <c r="U45" s="68"/>
      <c r="V45" s="68">
        <v>686693.7</v>
      </c>
      <c r="W45" s="68"/>
      <c r="X45" s="68">
        <v>21780</v>
      </c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9">
        <f t="shared" si="5"/>
        <v>2088473.8499999999</v>
      </c>
    </row>
    <row r="46" spans="2:43" ht="31.5" x14ac:dyDescent="0.25">
      <c r="B46" s="65">
        <v>19</v>
      </c>
      <c r="C46" s="66">
        <v>1208</v>
      </c>
      <c r="D46" s="108" t="s">
        <v>119</v>
      </c>
      <c r="E46" s="67" t="s">
        <v>88</v>
      </c>
      <c r="F46" s="68">
        <v>2784542.4</v>
      </c>
      <c r="G46" s="63">
        <f t="shared" si="6"/>
        <v>2695117.1</v>
      </c>
      <c r="H46" s="150"/>
      <c r="I46" s="149"/>
      <c r="J46" s="148"/>
      <c r="K46" s="147"/>
      <c r="L46" s="145"/>
      <c r="M46" s="144"/>
      <c r="N46" s="142"/>
      <c r="O46" s="139"/>
      <c r="P46" s="129"/>
      <c r="Q46" s="128"/>
      <c r="R46" s="120"/>
      <c r="S46" s="107"/>
      <c r="T46" s="103"/>
      <c r="U46" s="68"/>
      <c r="V46" s="68"/>
      <c r="W46" s="68">
        <v>1007216.1</v>
      </c>
      <c r="X46" s="68">
        <v>1638400.5</v>
      </c>
      <c r="Y46" s="68"/>
      <c r="Z46" s="68"/>
      <c r="AA46" s="68">
        <v>49500.5</v>
      </c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>
        <v>2695117.1</v>
      </c>
      <c r="AO46" s="69">
        <f t="shared" si="5"/>
        <v>0</v>
      </c>
    </row>
    <row r="47" spans="2:43" ht="31.5" x14ac:dyDescent="0.25">
      <c r="B47" s="65">
        <v>52</v>
      </c>
      <c r="C47" s="66">
        <v>101144</v>
      </c>
      <c r="D47" s="111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150"/>
      <c r="I47" s="149"/>
      <c r="J47" s="148"/>
      <c r="K47" s="147"/>
      <c r="L47" s="145"/>
      <c r="M47" s="144">
        <v>1266686.74</v>
      </c>
      <c r="N47" s="142"/>
      <c r="O47" s="139"/>
      <c r="P47" s="129">
        <v>4601678.4000000004</v>
      </c>
      <c r="Q47" s="128"/>
      <c r="R47" s="120">
        <v>35338.5</v>
      </c>
      <c r="S47" s="107">
        <f>1256303.94+73900.23</f>
        <v>1330204.17</v>
      </c>
      <c r="T47" s="103"/>
      <c r="U47" s="68"/>
      <c r="V47" s="68">
        <v>290705.71999999997</v>
      </c>
      <c r="W47" s="68">
        <v>217003.5</v>
      </c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9">
        <f t="shared" ref="AO47:AO55" si="7">G47-AN47</f>
        <v>7741617.0300000003</v>
      </c>
    </row>
    <row r="48" spans="2:43" ht="47.25" x14ac:dyDescent="0.25">
      <c r="B48" s="65">
        <v>19</v>
      </c>
      <c r="C48" s="66">
        <v>1133</v>
      </c>
      <c r="D48" s="108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150"/>
      <c r="I48" s="149"/>
      <c r="J48" s="148"/>
      <c r="K48" s="147"/>
      <c r="L48" s="145"/>
      <c r="M48" s="144"/>
      <c r="N48" s="142"/>
      <c r="O48" s="139">
        <v>25895.32</v>
      </c>
      <c r="P48" s="129"/>
      <c r="Q48" s="128"/>
      <c r="R48" s="120">
        <f>506123.95+428085.9</f>
        <v>934209.85000000009</v>
      </c>
      <c r="S48" s="107"/>
      <c r="T48" s="103"/>
      <c r="U48" s="68"/>
      <c r="V48" s="68"/>
      <c r="W48" s="68">
        <v>930922.2</v>
      </c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>
        <v>1891027.37</v>
      </c>
      <c r="AO48" s="69">
        <f t="shared" si="7"/>
        <v>0</v>
      </c>
    </row>
    <row r="49" spans="2:43" ht="31.5" x14ac:dyDescent="0.25">
      <c r="B49" s="90">
        <v>19</v>
      </c>
      <c r="C49" s="66">
        <v>1700</v>
      </c>
      <c r="D49" s="114" t="s">
        <v>127</v>
      </c>
      <c r="E49" s="67" t="s">
        <v>93</v>
      </c>
      <c r="F49" s="91">
        <v>4497134.4000000004</v>
      </c>
      <c r="G49" s="63">
        <f t="shared" si="6"/>
        <v>2060475.1</v>
      </c>
      <c r="H49" s="150"/>
      <c r="I49" s="149"/>
      <c r="J49" s="148"/>
      <c r="K49" s="147"/>
      <c r="L49" s="145"/>
      <c r="M49" s="144">
        <v>1574296.54</v>
      </c>
      <c r="N49" s="142"/>
      <c r="O49" s="139"/>
      <c r="P49" s="129"/>
      <c r="Q49" s="128"/>
      <c r="R49" s="120"/>
      <c r="S49" s="107"/>
      <c r="T49" s="103"/>
      <c r="U49" s="91"/>
      <c r="V49" s="91"/>
      <c r="W49" s="91">
        <v>486178.56</v>
      </c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2">
        <f t="shared" si="7"/>
        <v>2060475.1</v>
      </c>
    </row>
    <row r="50" spans="2:43" ht="15.75" x14ac:dyDescent="0.25">
      <c r="B50" s="60">
        <v>59</v>
      </c>
      <c r="C50" s="61">
        <v>101160</v>
      </c>
      <c r="D50" s="111" t="s">
        <v>113</v>
      </c>
      <c r="E50" s="62" t="s">
        <v>94</v>
      </c>
      <c r="F50" s="63">
        <v>19530000</v>
      </c>
      <c r="G50" s="63">
        <f>SUM(H50:AM50)</f>
        <v>18317533.950000003</v>
      </c>
      <c r="H50" s="63"/>
      <c r="I50" s="63"/>
      <c r="J50" s="63"/>
      <c r="K50" s="63"/>
      <c r="L50" s="63"/>
      <c r="M50" s="63"/>
      <c r="N50" s="63"/>
      <c r="O50" s="63"/>
      <c r="P50" s="63">
        <v>203564.54</v>
      </c>
      <c r="Q50" s="63">
        <v>576872.26</v>
      </c>
      <c r="R50" s="63">
        <v>285214.5</v>
      </c>
      <c r="S50" s="63">
        <f>315810+181982.7+197087.4+1437480+696905.55+4170559.5+380061+266805+2989305+209632.5+976500+364815+306009</f>
        <v>12492952.65</v>
      </c>
      <c r="T50" s="63"/>
      <c r="U50" s="63"/>
      <c r="V50" s="63"/>
      <c r="W50" s="63">
        <f>90145+1532465+174240+2962080</f>
        <v>4758930</v>
      </c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>
        <v>17251882.649999999</v>
      </c>
      <c r="AO50" s="64">
        <f t="shared" si="7"/>
        <v>1065651.3000000045</v>
      </c>
    </row>
    <row r="51" spans="2:43" ht="32.25" thickBot="1" x14ac:dyDescent="0.3">
      <c r="B51" s="70">
        <v>52</v>
      </c>
      <c r="C51" s="71">
        <v>101155</v>
      </c>
      <c r="D51" s="112" t="s">
        <v>113</v>
      </c>
      <c r="E51" s="72" t="s">
        <v>101</v>
      </c>
      <c r="F51" s="73">
        <v>6148995.4800000004</v>
      </c>
      <c r="G51" s="73">
        <f>SUM(H51:AM51)</f>
        <v>6001336.6299999999</v>
      </c>
      <c r="H51" s="73"/>
      <c r="I51" s="73"/>
      <c r="J51" s="73"/>
      <c r="K51" s="73"/>
      <c r="L51" s="73"/>
      <c r="M51" s="73">
        <v>1260000</v>
      </c>
      <c r="N51" s="73">
        <v>688161.6</v>
      </c>
      <c r="O51" s="73">
        <v>1144310.97</v>
      </c>
      <c r="P51" s="73"/>
      <c r="Q51" s="73">
        <f>921842.26</f>
        <v>921842.26</v>
      </c>
      <c r="R51" s="73">
        <f>80803.8+261904.5+173151</f>
        <v>515859.3</v>
      </c>
      <c r="S51" s="73"/>
      <c r="T51" s="73"/>
      <c r="U51" s="73">
        <v>1249387.2</v>
      </c>
      <c r="V51" s="73">
        <v>221775.3</v>
      </c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4">
        <f t="shared" si="7"/>
        <v>6001336.6299999999</v>
      </c>
    </row>
    <row r="52" spans="2:43" ht="32.25" thickTop="1" x14ac:dyDescent="0.25">
      <c r="B52" s="89">
        <v>59</v>
      </c>
      <c r="C52" s="85">
        <v>101124</v>
      </c>
      <c r="D52" s="115" t="s">
        <v>113</v>
      </c>
      <c r="E52" s="86" t="s">
        <v>95</v>
      </c>
      <c r="F52" s="87">
        <v>23936400</v>
      </c>
      <c r="G52" s="87">
        <f>SUM(H52:AM52)</f>
        <v>23743457.199999999</v>
      </c>
      <c r="H52" s="87"/>
      <c r="I52" s="87"/>
      <c r="J52" s="87"/>
      <c r="K52" s="87"/>
      <c r="L52" s="87"/>
      <c r="M52" s="87">
        <f>4232923.2+1611720+168492.11+1656545.42</f>
        <v>7669680.7300000004</v>
      </c>
      <c r="N52" s="87"/>
      <c r="O52" s="87">
        <f>4195787.26-2710953.78</f>
        <v>1484833.48</v>
      </c>
      <c r="P52" s="87">
        <v>2710953.78</v>
      </c>
      <c r="Q52" s="87">
        <v>2710953.78</v>
      </c>
      <c r="R52" s="87">
        <f>5085951.46+299173.62+60783.63+3575.5+116483.7+6851.98</f>
        <v>5572819.8900000006</v>
      </c>
      <c r="S52" s="87"/>
      <c r="T52" s="87"/>
      <c r="U52" s="87">
        <f>2895199.96+170305.88</f>
        <v>3065505.84</v>
      </c>
      <c r="V52" s="87">
        <f>499337+29372.7</f>
        <v>528709.69999999995</v>
      </c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>
        <v>3594215.56</v>
      </c>
      <c r="AO52" s="88">
        <f t="shared" si="7"/>
        <v>20149241.640000001</v>
      </c>
    </row>
    <row r="53" spans="2:43" ht="31.5" x14ac:dyDescent="0.25">
      <c r="B53" s="60">
        <v>52</v>
      </c>
      <c r="C53" s="61">
        <v>101018</v>
      </c>
      <c r="D53" s="111" t="s">
        <v>113</v>
      </c>
      <c r="E53" s="62" t="s">
        <v>96</v>
      </c>
      <c r="F53" s="63">
        <v>2069560</v>
      </c>
      <c r="G53" s="63">
        <f>SUM(H53:AM53)</f>
        <v>2069559.95</v>
      </c>
      <c r="H53" s="63"/>
      <c r="I53" s="63"/>
      <c r="J53" s="63"/>
      <c r="K53" s="63"/>
      <c r="L53" s="63"/>
      <c r="M53" s="63"/>
      <c r="N53" s="63"/>
      <c r="O53" s="63">
        <v>17545.14</v>
      </c>
      <c r="P53" s="63">
        <v>12100</v>
      </c>
      <c r="Q53" s="63">
        <v>1125645.06</v>
      </c>
      <c r="R53" s="63">
        <v>12100</v>
      </c>
      <c r="S53" s="63">
        <v>12100</v>
      </c>
      <c r="T53" s="63"/>
      <c r="U53" s="63">
        <v>877969.75</v>
      </c>
      <c r="V53" s="63">
        <v>12100</v>
      </c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>
        <v>943914.89</v>
      </c>
      <c r="AO53" s="64">
        <f t="shared" si="7"/>
        <v>1125645.06</v>
      </c>
      <c r="AQ53" s="99"/>
    </row>
    <row r="54" spans="2:43" ht="47.25" x14ac:dyDescent="0.25">
      <c r="B54" s="60">
        <v>52</v>
      </c>
      <c r="C54" s="61">
        <v>101151</v>
      </c>
      <c r="D54" s="111" t="s">
        <v>113</v>
      </c>
      <c r="E54" s="62" t="s">
        <v>100</v>
      </c>
      <c r="F54" s="63">
        <v>8811260.8399999999</v>
      </c>
      <c r="G54" s="63">
        <f t="shared" ref="G54:G67" si="8">SUM(H54:AM54)</f>
        <v>4229684.08</v>
      </c>
      <c r="H54" s="63"/>
      <c r="I54" s="63"/>
      <c r="J54" s="63"/>
      <c r="K54" s="63"/>
      <c r="L54" s="63"/>
      <c r="M54" s="63">
        <v>43200</v>
      </c>
      <c r="N54" s="63"/>
      <c r="O54" s="63">
        <f>10890+1352258.13</f>
        <v>1363148.13</v>
      </c>
      <c r="P54" s="63"/>
      <c r="Q54" s="63">
        <f>21251.84+1073449.08</f>
        <v>1094700.9200000002</v>
      </c>
      <c r="R54" s="63">
        <f>817442.6+26565.07</f>
        <v>844007.66999999993</v>
      </c>
      <c r="S54" s="63"/>
      <c r="T54" s="63">
        <v>863375.53</v>
      </c>
      <c r="U54" s="63"/>
      <c r="V54" s="63">
        <v>21251.83</v>
      </c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4">
        <f t="shared" si="7"/>
        <v>4229684.08</v>
      </c>
    </row>
    <row r="55" spans="2:43" ht="15.75" x14ac:dyDescent="0.25">
      <c r="B55" s="65">
        <v>50</v>
      </c>
      <c r="C55" s="66">
        <v>100931</v>
      </c>
      <c r="D55" s="114" t="s">
        <v>113</v>
      </c>
      <c r="E55" s="67" t="s">
        <v>97</v>
      </c>
      <c r="F55" s="68">
        <f>1794250.17+(25.495*1129713.15)</f>
        <v>30596286.929250002</v>
      </c>
      <c r="G55" s="63">
        <f t="shared" si="8"/>
        <v>30596286.93</v>
      </c>
      <c r="H55" s="150"/>
      <c r="I55" s="149"/>
      <c r="J55" s="148"/>
      <c r="K55" s="147"/>
      <c r="L55" s="145"/>
      <c r="M55" s="144"/>
      <c r="N55" s="142"/>
      <c r="O55" s="139"/>
      <c r="P55" s="129"/>
      <c r="Q55" s="128"/>
      <c r="R55" s="120">
        <v>16287677.470000001</v>
      </c>
      <c r="S55" s="107">
        <v>3854869.33</v>
      </c>
      <c r="T55" s="103"/>
      <c r="U55" s="68"/>
      <c r="V55" s="68">
        <v>10453740.130000001</v>
      </c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9">
        <f t="shared" si="7"/>
        <v>30596286.93</v>
      </c>
    </row>
    <row r="56" spans="2:43" ht="31.5" x14ac:dyDescent="0.25">
      <c r="B56" s="100">
        <v>52</v>
      </c>
      <c r="C56" s="66">
        <v>101133</v>
      </c>
      <c r="D56" s="114" t="s">
        <v>113</v>
      </c>
      <c r="E56" s="67" t="s">
        <v>99</v>
      </c>
      <c r="F56" s="101">
        <v>23562987.300000001</v>
      </c>
      <c r="G56" s="63">
        <f t="shared" si="8"/>
        <v>23239650.780000001</v>
      </c>
      <c r="H56" s="150"/>
      <c r="I56" s="149"/>
      <c r="J56" s="148"/>
      <c r="K56" s="147"/>
      <c r="L56" s="145"/>
      <c r="M56" s="144"/>
      <c r="N56" s="142"/>
      <c r="O56" s="139"/>
      <c r="P56" s="129">
        <v>2477315.7599999998</v>
      </c>
      <c r="Q56" s="128">
        <f>978424.93+9152922.73</f>
        <v>10131347.66</v>
      </c>
      <c r="R56" s="120"/>
      <c r="S56" s="107">
        <v>9405532.6400000006</v>
      </c>
      <c r="T56" s="103"/>
      <c r="U56" s="101">
        <v>1225454.72</v>
      </c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>
        <v>23239650.780000001</v>
      </c>
      <c r="AO56" s="102">
        <f t="shared" ref="AO56:AO62" si="9">G56-AN56</f>
        <v>0</v>
      </c>
    </row>
    <row r="57" spans="2:43" ht="31.5" x14ac:dyDescent="0.25">
      <c r="B57" s="100">
        <v>52</v>
      </c>
      <c r="C57" s="66">
        <v>101123</v>
      </c>
      <c r="D57" s="114" t="s">
        <v>113</v>
      </c>
      <c r="E57" s="67" t="s">
        <v>107</v>
      </c>
      <c r="F57" s="101">
        <v>27427807.800000001</v>
      </c>
      <c r="G57" s="63">
        <f t="shared" si="8"/>
        <v>26548295.399999999</v>
      </c>
      <c r="H57" s="150"/>
      <c r="I57" s="149"/>
      <c r="J57" s="148"/>
      <c r="K57" s="147"/>
      <c r="L57" s="145"/>
      <c r="M57" s="144"/>
      <c r="N57" s="142"/>
      <c r="O57" s="139"/>
      <c r="P57" s="129"/>
      <c r="Q57" s="128"/>
      <c r="R57" s="120"/>
      <c r="S57" s="107"/>
      <c r="T57" s="103">
        <v>26548295.399999999</v>
      </c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>
        <v>26548295.399999999</v>
      </c>
      <c r="AO57" s="102">
        <f t="shared" si="9"/>
        <v>0</v>
      </c>
    </row>
    <row r="58" spans="2:43" ht="31.5" x14ac:dyDescent="0.25">
      <c r="B58" s="100">
        <v>59</v>
      </c>
      <c r="C58" s="66">
        <v>101159</v>
      </c>
      <c r="D58" s="114" t="s">
        <v>113</v>
      </c>
      <c r="E58" s="67" t="s">
        <v>108</v>
      </c>
      <c r="F58" s="101">
        <v>7011841.5</v>
      </c>
      <c r="G58" s="63">
        <f t="shared" si="8"/>
        <v>5232409.37</v>
      </c>
      <c r="H58" s="150"/>
      <c r="I58" s="149"/>
      <c r="J58" s="148"/>
      <c r="K58" s="147"/>
      <c r="L58" s="145"/>
      <c r="M58" s="144"/>
      <c r="N58" s="142"/>
      <c r="O58" s="139"/>
      <c r="P58" s="129"/>
      <c r="Q58" s="128"/>
      <c r="R58" s="120">
        <f>3725784.9+433613.66</f>
        <v>4159398.56</v>
      </c>
      <c r="S58" s="107">
        <f>121423.5+897059.01</f>
        <v>1018482.51</v>
      </c>
      <c r="T58" s="103">
        <f>3029.35+51498.95</f>
        <v>54528.299999999996</v>
      </c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>
        <f>951587.31+134128.26+4146693.8</f>
        <v>5232409.37</v>
      </c>
      <c r="AO58" s="102">
        <f t="shared" si="9"/>
        <v>0</v>
      </c>
    </row>
    <row r="59" spans="2:43" ht="31.5" x14ac:dyDescent="0.25">
      <c r="B59" s="100">
        <v>19</v>
      </c>
      <c r="C59" s="66">
        <v>1206</v>
      </c>
      <c r="D59" s="108" t="s">
        <v>128</v>
      </c>
      <c r="E59" s="67" t="s">
        <v>104</v>
      </c>
      <c r="F59" s="101">
        <v>4009489.18</v>
      </c>
      <c r="G59" s="63">
        <f t="shared" si="8"/>
        <v>2905578.8099999996</v>
      </c>
      <c r="H59" s="150"/>
      <c r="I59" s="149"/>
      <c r="J59" s="148"/>
      <c r="K59" s="147"/>
      <c r="L59" s="145"/>
      <c r="M59" s="144">
        <v>504807.3</v>
      </c>
      <c r="N59" s="142"/>
      <c r="O59" s="139"/>
      <c r="P59" s="129"/>
      <c r="Q59" s="128">
        <v>41382</v>
      </c>
      <c r="R59" s="120">
        <v>2318007.5099999998</v>
      </c>
      <c r="S59" s="107"/>
      <c r="T59" s="103">
        <v>41382</v>
      </c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>
        <v>2564326.5</v>
      </c>
      <c r="AO59" s="102">
        <f t="shared" si="9"/>
        <v>341252.30999999959</v>
      </c>
    </row>
    <row r="60" spans="2:43" ht="63" x14ac:dyDescent="0.25">
      <c r="B60" s="105">
        <v>19</v>
      </c>
      <c r="C60" s="66">
        <v>1127</v>
      </c>
      <c r="D60" s="108" t="s">
        <v>129</v>
      </c>
      <c r="E60" s="67" t="s">
        <v>106</v>
      </c>
      <c r="F60" s="106">
        <v>6813999</v>
      </c>
      <c r="G60" s="63">
        <f t="shared" si="8"/>
        <v>6292531.4000000004</v>
      </c>
      <c r="H60" s="150"/>
      <c r="I60" s="149"/>
      <c r="J60" s="148"/>
      <c r="K60" s="147"/>
      <c r="L60" s="145"/>
      <c r="M60" s="144"/>
      <c r="N60" s="142">
        <v>3071578.5</v>
      </c>
      <c r="O60" s="139"/>
      <c r="P60" s="129"/>
      <c r="Q60" s="128"/>
      <c r="R60" s="120">
        <v>1719788</v>
      </c>
      <c r="S60" s="107"/>
      <c r="T60" s="106">
        <v>1501164.9</v>
      </c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2">
        <f t="shared" si="9"/>
        <v>6292531.4000000004</v>
      </c>
    </row>
    <row r="61" spans="2:43" ht="31.5" x14ac:dyDescent="0.25">
      <c r="B61" s="105">
        <v>52</v>
      </c>
      <c r="C61" s="66">
        <v>101140</v>
      </c>
      <c r="D61" s="114" t="s">
        <v>113</v>
      </c>
      <c r="E61" s="67" t="s">
        <v>110</v>
      </c>
      <c r="F61" s="106">
        <v>3674386.5</v>
      </c>
      <c r="G61" s="63">
        <f t="shared" si="8"/>
        <v>2169144.6</v>
      </c>
      <c r="H61" s="150"/>
      <c r="I61" s="149">
        <f>1014417.6+2268</f>
        <v>1016685.6</v>
      </c>
      <c r="J61" s="148">
        <v>2268</v>
      </c>
      <c r="K61" s="147"/>
      <c r="L61" s="145">
        <f>1115499+2268</f>
        <v>1117767</v>
      </c>
      <c r="M61" s="144">
        <v>9324</v>
      </c>
      <c r="N61" s="142"/>
      <c r="O61" s="139"/>
      <c r="P61" s="129"/>
      <c r="Q61" s="128"/>
      <c r="R61" s="109"/>
      <c r="S61" s="107">
        <v>23100</v>
      </c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4">
        <f t="shared" si="9"/>
        <v>2169144.6</v>
      </c>
    </row>
    <row r="62" spans="2:43" ht="15.75" x14ac:dyDescent="0.25">
      <c r="B62" s="123">
        <v>59</v>
      </c>
      <c r="C62" s="66">
        <v>101166</v>
      </c>
      <c r="D62" s="124" t="s">
        <v>113</v>
      </c>
      <c r="E62" s="67" t="s">
        <v>111</v>
      </c>
      <c r="F62" s="122">
        <v>4708034.0999999996</v>
      </c>
      <c r="G62" s="63">
        <f t="shared" si="8"/>
        <v>4262722.2</v>
      </c>
      <c r="H62" s="150"/>
      <c r="I62" s="149"/>
      <c r="J62" s="148"/>
      <c r="K62" s="147"/>
      <c r="L62" s="145"/>
      <c r="M62" s="144"/>
      <c r="N62" s="142"/>
      <c r="O62" s="139"/>
      <c r="P62" s="129"/>
      <c r="Q62" s="128"/>
      <c r="R62" s="122"/>
      <c r="S62" s="122">
        <f>555390+3707332.2</f>
        <v>4262722.2</v>
      </c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04">
        <f t="shared" si="9"/>
        <v>4262722.2</v>
      </c>
    </row>
    <row r="63" spans="2:43" ht="31.5" x14ac:dyDescent="0.25">
      <c r="B63" s="125">
        <v>59</v>
      </c>
      <c r="C63" s="66">
        <v>101258</v>
      </c>
      <c r="D63" s="127" t="s">
        <v>113</v>
      </c>
      <c r="E63" s="67" t="s">
        <v>131</v>
      </c>
      <c r="F63" s="126">
        <v>6289074</v>
      </c>
      <c r="G63" s="63">
        <f t="shared" si="8"/>
        <v>6053436.120000001</v>
      </c>
      <c r="H63" s="150"/>
      <c r="I63" s="149"/>
      <c r="J63" s="148"/>
      <c r="K63" s="147">
        <f>283857.3+233146.8+365313.53+420192.51</f>
        <v>1302510.1400000001</v>
      </c>
      <c r="L63" s="145"/>
      <c r="M63" s="144">
        <f>44226+44787.6+1413291.11+130510.05</f>
        <v>1632814.7600000002</v>
      </c>
      <c r="N63" s="142">
        <v>1171868.3999999999</v>
      </c>
      <c r="O63" s="139">
        <f>1259933.54+74052+139936.5+153298.8</f>
        <v>1627220.84</v>
      </c>
      <c r="P63" s="129"/>
      <c r="Q63" s="128">
        <f>267227.13+51794.85</f>
        <v>319021.98</v>
      </c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1">
        <f>G63-AN63</f>
        <v>6053436.120000001</v>
      </c>
    </row>
    <row r="64" spans="2:43" ht="31.5" x14ac:dyDescent="0.25">
      <c r="B64" s="60">
        <v>52</v>
      </c>
      <c r="C64" s="61">
        <v>101252</v>
      </c>
      <c r="D64" s="111" t="s">
        <v>113</v>
      </c>
      <c r="E64" s="62" t="s">
        <v>132</v>
      </c>
      <c r="F64" s="63">
        <v>1974726.6</v>
      </c>
      <c r="G64" s="63">
        <f t="shared" si="8"/>
        <v>1810574.5</v>
      </c>
      <c r="H64" s="63"/>
      <c r="I64" s="63"/>
      <c r="J64" s="63"/>
      <c r="K64" s="63"/>
      <c r="L64" s="63"/>
      <c r="M64" s="63"/>
      <c r="N64" s="63"/>
      <c r="O64" s="63"/>
      <c r="P64" s="63"/>
      <c r="Q64" s="63">
        <v>1810574.5</v>
      </c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>
        <v>1810574.3</v>
      </c>
      <c r="AO64" s="64">
        <f>G64-AN64</f>
        <v>0.19999999995343387</v>
      </c>
    </row>
    <row r="65" spans="2:41" ht="47.25" x14ac:dyDescent="0.25">
      <c r="B65" s="60">
        <v>52</v>
      </c>
      <c r="C65" s="61">
        <v>101217</v>
      </c>
      <c r="D65" s="111" t="s">
        <v>113</v>
      </c>
      <c r="E65" s="62" t="s">
        <v>134</v>
      </c>
      <c r="F65" s="63">
        <v>2854682.6</v>
      </c>
      <c r="G65" s="63">
        <f t="shared" si="8"/>
        <v>19387.34</v>
      </c>
      <c r="H65" s="63"/>
      <c r="I65" s="63"/>
      <c r="J65" s="63"/>
      <c r="K65" s="63"/>
      <c r="L65" s="63"/>
      <c r="M65" s="63"/>
      <c r="N65" s="63"/>
      <c r="O65" s="63"/>
      <c r="P65" s="63">
        <v>19387.34</v>
      </c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4">
        <f t="shared" ref="AO65:AO68" si="10">G65-AN65</f>
        <v>19387.34</v>
      </c>
    </row>
    <row r="66" spans="2:41" ht="47.25" x14ac:dyDescent="0.25">
      <c r="B66" s="132">
        <v>52</v>
      </c>
      <c r="C66" s="66">
        <v>101317</v>
      </c>
      <c r="D66" s="133" t="s">
        <v>113</v>
      </c>
      <c r="E66" s="67" t="s">
        <v>135</v>
      </c>
      <c r="F66" s="131">
        <v>2503081.2000000002</v>
      </c>
      <c r="G66" s="63">
        <f t="shared" si="8"/>
        <v>12657.15</v>
      </c>
      <c r="H66" s="150"/>
      <c r="I66" s="149"/>
      <c r="J66" s="148"/>
      <c r="K66" s="147"/>
      <c r="L66" s="145"/>
      <c r="M66" s="144"/>
      <c r="N66" s="142"/>
      <c r="O66" s="139"/>
      <c r="P66" s="131">
        <v>12657.15</v>
      </c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1"/>
      <c r="AN66" s="131"/>
      <c r="AO66" s="130">
        <f t="shared" si="10"/>
        <v>12657.15</v>
      </c>
    </row>
    <row r="67" spans="2:41" ht="15.75" x14ac:dyDescent="0.25">
      <c r="B67" s="134">
        <v>59</v>
      </c>
      <c r="C67" s="66">
        <v>101240</v>
      </c>
      <c r="D67" s="136" t="s">
        <v>113</v>
      </c>
      <c r="E67" s="67" t="s">
        <v>137</v>
      </c>
      <c r="F67" s="135">
        <v>2250000</v>
      </c>
      <c r="G67" s="63">
        <f t="shared" si="8"/>
        <v>2176911</v>
      </c>
      <c r="H67" s="150"/>
      <c r="I67" s="149"/>
      <c r="J67" s="148"/>
      <c r="K67" s="147"/>
      <c r="L67" s="145"/>
      <c r="M67" s="144"/>
      <c r="N67" s="142"/>
      <c r="O67" s="139">
        <v>2176911</v>
      </c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>
        <v>2176911</v>
      </c>
      <c r="AO67" s="130">
        <f t="shared" si="10"/>
        <v>0</v>
      </c>
    </row>
    <row r="68" spans="2:41" ht="32.25" thickBot="1" x14ac:dyDescent="0.3">
      <c r="B68" s="93">
        <v>19</v>
      </c>
      <c r="C68" s="94">
        <v>1104</v>
      </c>
      <c r="D68" s="116" t="s">
        <v>138</v>
      </c>
      <c r="E68" s="95" t="s">
        <v>139</v>
      </c>
      <c r="F68" s="96">
        <v>2842597.8</v>
      </c>
      <c r="G68" s="135">
        <f>SUM(H68:AM68)</f>
        <v>2335150.96</v>
      </c>
      <c r="H68" s="150"/>
      <c r="I68" s="149"/>
      <c r="J68" s="148"/>
      <c r="K68" s="147"/>
      <c r="L68" s="145"/>
      <c r="M68" s="144"/>
      <c r="N68" s="142"/>
      <c r="O68" s="96">
        <v>2335150.96</v>
      </c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>
        <v>2335150.96</v>
      </c>
      <c r="AO68" s="137">
        <f t="shared" si="10"/>
        <v>0</v>
      </c>
    </row>
    <row r="69" spans="2:41" ht="20.100000000000001" customHeight="1" thickTop="1" thickBot="1" x14ac:dyDescent="0.3">
      <c r="B69" s="81"/>
      <c r="C69" s="82"/>
      <c r="D69" s="82"/>
      <c r="E69" s="82"/>
      <c r="F69" s="83">
        <f t="shared" ref="F69:N69" si="11">SUM(F4:F68)</f>
        <v>1372467692.4392498</v>
      </c>
      <c r="G69" s="83">
        <f>SUM(G4:G68)</f>
        <v>938489277.25999987</v>
      </c>
      <c r="H69" s="83">
        <f>SUM(H4:H68)</f>
        <v>9966681.7200000007</v>
      </c>
      <c r="I69" s="83">
        <f t="shared" si="11"/>
        <v>9698266.3599999994</v>
      </c>
      <c r="J69" s="83">
        <f t="shared" si="11"/>
        <v>8594659.75</v>
      </c>
      <c r="K69" s="83">
        <f t="shared" si="11"/>
        <v>1304905.9400000002</v>
      </c>
      <c r="L69" s="83">
        <f t="shared" si="11"/>
        <v>10914675.17</v>
      </c>
      <c r="M69" s="83">
        <f t="shared" si="11"/>
        <v>29312816.630000006</v>
      </c>
      <c r="N69" s="83">
        <f t="shared" si="11"/>
        <v>10199294.83</v>
      </c>
      <c r="O69" s="83">
        <f t="shared" ref="O69:AM69" si="12">SUM(O4:O68)</f>
        <v>43250051.13000001</v>
      </c>
      <c r="P69" s="83">
        <f t="shared" si="12"/>
        <v>19218115.23</v>
      </c>
      <c r="Q69" s="83">
        <f t="shared" si="12"/>
        <v>47037920.500000007</v>
      </c>
      <c r="R69" s="83">
        <f t="shared" si="12"/>
        <v>54193399.359999999</v>
      </c>
      <c r="S69" s="83">
        <f t="shared" si="12"/>
        <v>73354204.99000001</v>
      </c>
      <c r="T69" s="83">
        <f t="shared" si="12"/>
        <v>34276098.340000004</v>
      </c>
      <c r="U69" s="83">
        <f t="shared" si="12"/>
        <v>33723490.390000001</v>
      </c>
      <c r="V69" s="83">
        <f t="shared" si="12"/>
        <v>34962249.579999998</v>
      </c>
      <c r="W69" s="83">
        <f t="shared" si="12"/>
        <v>68195259.400000006</v>
      </c>
      <c r="X69" s="83">
        <f t="shared" si="12"/>
        <v>19919223.909999996</v>
      </c>
      <c r="Y69" s="83">
        <f t="shared" si="12"/>
        <v>53366828.850000001</v>
      </c>
      <c r="Z69" s="83">
        <f t="shared" si="12"/>
        <v>25764997.969999999</v>
      </c>
      <c r="AA69" s="83">
        <f t="shared" si="12"/>
        <v>56876644.520000003</v>
      </c>
      <c r="AB69" s="83">
        <f t="shared" si="12"/>
        <v>55694756.119999997</v>
      </c>
      <c r="AC69" s="83">
        <f t="shared" si="12"/>
        <v>3693296.3600000003</v>
      </c>
      <c r="AD69" s="83">
        <f t="shared" si="12"/>
        <v>894272.2</v>
      </c>
      <c r="AE69" s="83">
        <f t="shared" si="12"/>
        <v>17376.990000000002</v>
      </c>
      <c r="AF69" s="83">
        <f t="shared" si="12"/>
        <v>16414704.029999999</v>
      </c>
      <c r="AG69" s="83">
        <f t="shared" si="12"/>
        <v>3244919.44</v>
      </c>
      <c r="AH69" s="83">
        <f t="shared" si="12"/>
        <v>30566884.609999999</v>
      </c>
      <c r="AI69" s="83">
        <f t="shared" si="12"/>
        <v>18250721.109999999</v>
      </c>
      <c r="AJ69" s="83">
        <f t="shared" si="12"/>
        <v>19474817.859999999</v>
      </c>
      <c r="AK69" s="83">
        <f t="shared" si="12"/>
        <v>59854153.43</v>
      </c>
      <c r="AL69" s="83">
        <f t="shared" si="12"/>
        <v>37393590.539999999</v>
      </c>
      <c r="AM69" s="83">
        <f t="shared" si="12"/>
        <v>48860000</v>
      </c>
      <c r="AN69" s="83">
        <f>SUM(AN4:AN68)</f>
        <v>684297196.14999986</v>
      </c>
      <c r="AO69" s="138">
        <f>SUM(AO4:AO68)</f>
        <v>254192081.11000004</v>
      </c>
    </row>
    <row r="70" spans="2:41" ht="24.75" customHeight="1" thickTop="1" thickBot="1" x14ac:dyDescent="0.3">
      <c r="B70" s="160" t="s">
        <v>40</v>
      </c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84">
        <f>600000000-AO69</f>
        <v>345807918.88999999</v>
      </c>
    </row>
    <row r="71" spans="2:41" ht="15.75" thickTop="1" x14ac:dyDescent="0.25"/>
    <row r="72" spans="2:41" x14ac:dyDescent="0.25">
      <c r="AN72" s="99"/>
    </row>
    <row r="73" spans="2:41" x14ac:dyDescent="0.25"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</row>
  </sheetData>
  <mergeCells count="49">
    <mergeCell ref="D40:D41"/>
    <mergeCell ref="Q2:Q3"/>
    <mergeCell ref="P2:P3"/>
    <mergeCell ref="O2:O3"/>
    <mergeCell ref="N2:N3"/>
    <mergeCell ref="M2:M3"/>
    <mergeCell ref="J2:J3"/>
    <mergeCell ref="E2:E3"/>
    <mergeCell ref="AO40:AO41"/>
    <mergeCell ref="U2:U3"/>
    <mergeCell ref="V2:V3"/>
    <mergeCell ref="W2:W3"/>
    <mergeCell ref="X2:X3"/>
    <mergeCell ref="Z2:Z3"/>
    <mergeCell ref="AE2:AE3"/>
    <mergeCell ref="AA2:AA3"/>
    <mergeCell ref="AG2:AG3"/>
    <mergeCell ref="AF2:AF3"/>
    <mergeCell ref="AD2:AD3"/>
    <mergeCell ref="AB2:AB3"/>
    <mergeCell ref="AC2:AC3"/>
    <mergeCell ref="AN40:AN41"/>
    <mergeCell ref="AO2:AO3"/>
    <mergeCell ref="AM2:AM3"/>
    <mergeCell ref="B70:AN70"/>
    <mergeCell ref="B1:F1"/>
    <mergeCell ref="AN2:AN3"/>
    <mergeCell ref="L2:L3"/>
    <mergeCell ref="K2:K3"/>
    <mergeCell ref="Y2:Y3"/>
    <mergeCell ref="H2:H3"/>
    <mergeCell ref="I2:I3"/>
    <mergeCell ref="T2:T3"/>
    <mergeCell ref="E40:E41"/>
    <mergeCell ref="B40:B41"/>
    <mergeCell ref="F40:F41"/>
    <mergeCell ref="G40:G41"/>
    <mergeCell ref="S2:S3"/>
    <mergeCell ref="G2:G3"/>
    <mergeCell ref="C2:C3"/>
    <mergeCell ref="B2:B3"/>
    <mergeCell ref="F2:F3"/>
    <mergeCell ref="AJ2:AJ3"/>
    <mergeCell ref="AK2:AK3"/>
    <mergeCell ref="AL2:AL3"/>
    <mergeCell ref="AI2:AI3"/>
    <mergeCell ref="AH2:AH3"/>
    <mergeCell ref="R2:R3"/>
    <mergeCell ref="D2:D3"/>
  </mergeCells>
  <pageMargins left="0.70866141732283472" right="0.70866141732283472" top="0.39370078740157483" bottom="0.78740157480314965" header="0.31496062992125984" footer="0.31496062992125984"/>
  <pageSetup paperSize="9" scale="63" firstPageNumber="3" fitToHeight="0" orientation="landscape" useFirstPageNumber="1" r:id="rId1"/>
  <headerFooter>
    <oddFooter>&amp;LZastupitelstvo Olomouckého kraje 29. 04. 2019
5.4. - Rozpočet Olomouckého kraje 2019 - splátka revolvingového úvěru KB
Příloha č. 1 - přehled revolvingového úvěru&amp;RStrana &amp;P (celkem 5)</oddFooter>
  </headerFooter>
  <rowBreaks count="2" manualBreakCount="2">
    <brk id="28" min="1" max="24" man="1"/>
    <brk id="51" min="1" max="3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81" t="s">
        <v>25</v>
      </c>
      <c r="B1" s="181"/>
      <c r="C1" s="181"/>
      <c r="D1" s="181"/>
      <c r="E1" s="181"/>
      <c r="F1" s="181"/>
      <c r="G1" s="181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90" t="s">
        <v>0</v>
      </c>
      <c r="B4" s="192" t="s">
        <v>5</v>
      </c>
      <c r="C4" s="192" t="s">
        <v>6</v>
      </c>
      <c r="D4" s="184" t="s">
        <v>10</v>
      </c>
      <c r="E4" s="184" t="s">
        <v>1</v>
      </c>
      <c r="F4" s="188" t="s">
        <v>4</v>
      </c>
      <c r="G4" s="184" t="s">
        <v>7</v>
      </c>
      <c r="H4" s="182" t="s">
        <v>3</v>
      </c>
      <c r="I4" s="184" t="s">
        <v>9</v>
      </c>
      <c r="J4" s="184" t="s">
        <v>12</v>
      </c>
      <c r="K4" s="184" t="s">
        <v>8</v>
      </c>
      <c r="L4" s="186" t="s">
        <v>13</v>
      </c>
      <c r="M4" s="194" t="s">
        <v>14</v>
      </c>
    </row>
    <row r="5" spans="1:13" ht="39" customHeight="1" thickBot="1" x14ac:dyDescent="0.25">
      <c r="A5" s="191"/>
      <c r="B5" s="193"/>
      <c r="C5" s="193"/>
      <c r="D5" s="185"/>
      <c r="E5" s="185"/>
      <c r="F5" s="189"/>
      <c r="G5" s="185"/>
      <c r="H5" s="183"/>
      <c r="I5" s="185"/>
      <c r="J5" s="185"/>
      <c r="K5" s="185"/>
      <c r="L5" s="187"/>
      <c r="M5" s="195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78" t="s">
        <v>2</v>
      </c>
      <c r="B11" s="179"/>
      <c r="C11" s="179"/>
      <c r="D11" s="179"/>
      <c r="E11" s="179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90" t="s">
        <v>0</v>
      </c>
      <c r="B13" s="192" t="s">
        <v>5</v>
      </c>
      <c r="C13" s="192" t="s">
        <v>6</v>
      </c>
      <c r="D13" s="184" t="s">
        <v>10</v>
      </c>
      <c r="E13" s="184" t="s">
        <v>1</v>
      </c>
      <c r="F13" s="188" t="s">
        <v>4</v>
      </c>
      <c r="G13" s="184" t="s">
        <v>7</v>
      </c>
      <c r="H13" s="182" t="s">
        <v>3</v>
      </c>
      <c r="I13" s="184" t="s">
        <v>9</v>
      </c>
      <c r="J13" s="184" t="s">
        <v>12</v>
      </c>
      <c r="K13" s="184" t="s">
        <v>8</v>
      </c>
      <c r="L13" s="186" t="s">
        <v>13</v>
      </c>
      <c r="M13" s="194" t="s">
        <v>14</v>
      </c>
    </row>
    <row r="14" spans="1:13" ht="39" customHeight="1" thickBot="1" x14ac:dyDescent="0.25">
      <c r="A14" s="191"/>
      <c r="B14" s="193"/>
      <c r="C14" s="193"/>
      <c r="D14" s="185"/>
      <c r="E14" s="185"/>
      <c r="F14" s="189"/>
      <c r="G14" s="185"/>
      <c r="H14" s="183"/>
      <c r="I14" s="185"/>
      <c r="J14" s="185"/>
      <c r="K14" s="185"/>
      <c r="L14" s="187"/>
      <c r="M14" s="195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78" t="s">
        <v>26</v>
      </c>
      <c r="B19" s="179"/>
      <c r="C19" s="179"/>
      <c r="D19" s="179"/>
      <c r="E19" s="179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78" t="s">
        <v>2</v>
      </c>
      <c r="B21" s="179"/>
      <c r="C21" s="179"/>
      <c r="D21" s="179"/>
      <c r="E21" s="179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80"/>
      <c r="L22" s="180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2019-03-25T13:24:34Z</cp:lastPrinted>
  <dcterms:created xsi:type="dcterms:W3CDTF">2013-11-04T07:24:03Z</dcterms:created>
  <dcterms:modified xsi:type="dcterms:W3CDTF">2019-04-02T09:06:25Z</dcterms:modified>
</cp:coreProperties>
</file>