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180" windowHeight="10755"/>
  </bookViews>
  <sheets>
    <sheet name="rekapitulace" sheetId="7" r:id="rId1"/>
    <sheet name="8a. EIB - Evropské programy" sheetId="4" r:id="rId2"/>
    <sheet name="8b. KB 2012" sheetId="1" r:id="rId3"/>
    <sheet name="8c. OK 2012" sheetId="8" r:id="rId4"/>
    <sheet name="d) dotace" sheetId="10" r:id="rId5"/>
  </sheets>
  <definedNames>
    <definedName name="_xlnm.Print_Area" localSheetId="1">'8a. EIB - Evropské programy'!$A$1:$E$126</definedName>
    <definedName name="_xlnm.Print_Area" localSheetId="2">'8b. KB 2012'!$A$1:$E$387</definedName>
    <definedName name="_xlnm.Print_Area" localSheetId="3">'8c. OK 2012'!$A$1:$E$310</definedName>
    <definedName name="_xlnm.Print_Area" localSheetId="4">'d) dotace'!$A$1:$E$42</definedName>
    <definedName name="_xlnm.Print_Area" localSheetId="0">rekapitulace!$A$1:$D$49</definedName>
  </definedNames>
  <calcPr calcId="145621"/>
</workbook>
</file>

<file path=xl/calcChain.xml><?xml version="1.0" encoding="utf-8"?>
<calcChain xmlns="http://schemas.openxmlformats.org/spreadsheetml/2006/main">
  <c r="C20" i="10" l="1"/>
  <c r="D10" i="10"/>
  <c r="C10" i="10"/>
  <c r="E185" i="8" l="1"/>
  <c r="B293" i="1" l="1"/>
  <c r="E31" i="1" l="1"/>
  <c r="D210" i="8" l="1"/>
  <c r="C210" i="8"/>
  <c r="D220" i="1" l="1"/>
  <c r="C34" i="7" l="1"/>
  <c r="D34" i="7"/>
  <c r="C31" i="7"/>
  <c r="D31" i="7"/>
  <c r="B31" i="7"/>
  <c r="B34" i="7"/>
  <c r="C29" i="7"/>
  <c r="D29" i="7"/>
  <c r="B29" i="7"/>
  <c r="C25" i="7"/>
  <c r="D25" i="7"/>
  <c r="C26" i="7"/>
  <c r="D26" i="7"/>
  <c r="B26" i="7"/>
  <c r="B25" i="7"/>
  <c r="C21" i="7"/>
  <c r="D21" i="7"/>
  <c r="C22" i="7"/>
  <c r="D22" i="7"/>
  <c r="B22" i="7"/>
  <c r="C16" i="7"/>
  <c r="C17" i="7"/>
  <c r="D17" i="7"/>
  <c r="D18" i="7"/>
  <c r="B18" i="7"/>
  <c r="B17" i="7"/>
  <c r="B16" i="7"/>
  <c r="C11" i="7"/>
  <c r="D11" i="7"/>
  <c r="C12" i="7"/>
  <c r="D12" i="7"/>
  <c r="C13" i="7"/>
  <c r="D13" i="7"/>
  <c r="B13" i="7"/>
  <c r="B12" i="7"/>
  <c r="B11" i="7"/>
  <c r="D6" i="7"/>
  <c r="C7" i="7"/>
  <c r="D7" i="7"/>
  <c r="C8" i="7"/>
  <c r="D8" i="7"/>
  <c r="B7" i="7"/>
  <c r="B6" i="7"/>
  <c r="D45" i="7"/>
  <c r="C44" i="7"/>
  <c r="D44" i="7"/>
  <c r="B44" i="7"/>
  <c r="E288" i="8"/>
  <c r="B295" i="8"/>
  <c r="C293" i="8"/>
  <c r="D293" i="8"/>
  <c r="B293" i="8"/>
  <c r="C290" i="8"/>
  <c r="D290" i="8"/>
  <c r="B290" i="8"/>
  <c r="B287" i="8"/>
  <c r="B274" i="8"/>
  <c r="B280" i="8"/>
  <c r="D287" i="8"/>
  <c r="C287" i="8"/>
  <c r="E287" i="8" s="1"/>
  <c r="B284" i="8"/>
  <c r="D284" i="8"/>
  <c r="C284" i="8"/>
  <c r="D280" i="8"/>
  <c r="C280" i="8"/>
  <c r="D274" i="8"/>
  <c r="B254" i="8"/>
  <c r="C243" i="8"/>
  <c r="D243" i="8"/>
  <c r="B243" i="8"/>
  <c r="B258" i="8" s="1"/>
  <c r="C226" i="8"/>
  <c r="D226" i="8"/>
  <c r="B226" i="8"/>
  <c r="C208" i="8"/>
  <c r="D208" i="8"/>
  <c r="B208" i="8"/>
  <c r="C195" i="8"/>
  <c r="D195" i="8"/>
  <c r="B195" i="8"/>
  <c r="D173" i="8"/>
  <c r="C173" i="8"/>
  <c r="J186" i="8" s="1"/>
  <c r="B173" i="8"/>
  <c r="B129" i="8"/>
  <c r="D93" i="8"/>
  <c r="B93" i="8"/>
  <c r="C76" i="8"/>
  <c r="D76" i="8"/>
  <c r="B76" i="8"/>
  <c r="C7" i="8"/>
  <c r="D7" i="8"/>
  <c r="B7" i="8"/>
  <c r="J314" i="8"/>
  <c r="K314" i="8"/>
  <c r="I314" i="8"/>
  <c r="J287" i="8"/>
  <c r="K287" i="8"/>
  <c r="J288" i="8"/>
  <c r="K288" i="8"/>
  <c r="I288" i="8"/>
  <c r="I287" i="8"/>
  <c r="J253" i="8"/>
  <c r="K253" i="8"/>
  <c r="J255" i="8"/>
  <c r="K255" i="8"/>
  <c r="J256" i="8"/>
  <c r="K256" i="8"/>
  <c r="I253" i="8"/>
  <c r="I256" i="8"/>
  <c r="I255" i="8"/>
  <c r="E204" i="8"/>
  <c r="E203" i="8"/>
  <c r="E202" i="8"/>
  <c r="E201" i="8"/>
  <c r="E199" i="8"/>
  <c r="E197" i="8"/>
  <c r="E196" i="8"/>
  <c r="J214" i="8"/>
  <c r="K214" i="8"/>
  <c r="J216" i="8"/>
  <c r="K216" i="8"/>
  <c r="J217" i="8"/>
  <c r="K217" i="8"/>
  <c r="I214" i="8"/>
  <c r="I216" i="8"/>
  <c r="I217" i="8"/>
  <c r="J184" i="8"/>
  <c r="K184" i="8"/>
  <c r="J185" i="8"/>
  <c r="K185" i="8"/>
  <c r="I185" i="8"/>
  <c r="I184" i="8"/>
  <c r="E151" i="8"/>
  <c r="E150" i="8"/>
  <c r="E149" i="8"/>
  <c r="E148" i="8"/>
  <c r="E147" i="8"/>
  <c r="E146" i="8"/>
  <c r="E145" i="8"/>
  <c r="C103" i="8"/>
  <c r="C93" i="8" s="1"/>
  <c r="E109" i="8"/>
  <c r="E110" i="8"/>
  <c r="E111" i="8"/>
  <c r="E112" i="8"/>
  <c r="E113" i="8"/>
  <c r="E114" i="8"/>
  <c r="E115" i="8"/>
  <c r="E116" i="8"/>
  <c r="E117" i="8"/>
  <c r="E118" i="8"/>
  <c r="E119" i="8"/>
  <c r="E120" i="8"/>
  <c r="J133" i="8"/>
  <c r="K133" i="8"/>
  <c r="I133" i="8"/>
  <c r="J130" i="8"/>
  <c r="K130" i="8"/>
  <c r="I130" i="8"/>
  <c r="J132" i="8"/>
  <c r="K132" i="8"/>
  <c r="I132" i="8"/>
  <c r="J84" i="8"/>
  <c r="K84" i="8"/>
  <c r="I84" i="8"/>
  <c r="J83" i="8"/>
  <c r="K83" i="8"/>
  <c r="I83" i="8"/>
  <c r="C315" i="8"/>
  <c r="C314" i="8" s="1"/>
  <c r="D314" i="8"/>
  <c r="B314" i="8"/>
  <c r="J318" i="8" l="1"/>
  <c r="I318" i="8"/>
  <c r="K317" i="8"/>
  <c r="J315" i="8"/>
  <c r="I317" i="8"/>
  <c r="B137" i="8"/>
  <c r="K318" i="8"/>
  <c r="K315" i="8"/>
  <c r="I315" i="8"/>
  <c r="J317" i="8"/>
  <c r="I169" i="4"/>
  <c r="J166" i="4"/>
  <c r="K166" i="4"/>
  <c r="K167" i="4"/>
  <c r="J168" i="4"/>
  <c r="K168" i="4"/>
  <c r="K169" i="4" s="1"/>
  <c r="I167" i="4"/>
  <c r="I168" i="4"/>
  <c r="I166" i="4"/>
  <c r="C25" i="4"/>
  <c r="C89" i="4" l="1"/>
  <c r="B89" i="4"/>
  <c r="C165" i="4"/>
  <c r="C170" i="4"/>
  <c r="J114" i="4"/>
  <c r="J116" i="4" s="1"/>
  <c r="K114" i="4"/>
  <c r="K116" i="4" s="1"/>
  <c r="I114" i="4"/>
  <c r="I116" i="4"/>
  <c r="J93" i="4"/>
  <c r="I93" i="4"/>
  <c r="J92" i="4"/>
  <c r="K92" i="4"/>
  <c r="I92" i="4"/>
  <c r="I75" i="4"/>
  <c r="J76" i="4"/>
  <c r="J167" i="4" s="1"/>
  <c r="J169" i="4" s="1"/>
  <c r="K76" i="4"/>
  <c r="I76" i="4"/>
  <c r="J75" i="4"/>
  <c r="K75" i="4"/>
  <c r="J47" i="4"/>
  <c r="K47" i="4"/>
  <c r="I47" i="4"/>
  <c r="J45" i="4"/>
  <c r="K45" i="4"/>
  <c r="I45" i="4"/>
  <c r="I48" i="4"/>
  <c r="J35" i="4"/>
  <c r="J33" i="4"/>
  <c r="I33" i="4"/>
  <c r="J32" i="4"/>
  <c r="K32" i="4"/>
  <c r="I32" i="4"/>
  <c r="I35" i="4" s="1"/>
  <c r="I16" i="4"/>
  <c r="J16" i="4"/>
  <c r="K16" i="4"/>
  <c r="I17" i="4"/>
  <c r="J17" i="4"/>
  <c r="C7" i="4"/>
  <c r="D165" i="4"/>
  <c r="B165" i="4"/>
  <c r="C409" i="1"/>
  <c r="C398" i="1"/>
  <c r="E280" i="1"/>
  <c r="E278" i="1"/>
  <c r="E277" i="1"/>
  <c r="E275" i="1"/>
  <c r="E274" i="1"/>
  <c r="E273" i="1"/>
  <c r="E265" i="1"/>
  <c r="E266" i="1"/>
  <c r="E267" i="1"/>
  <c r="E268" i="1"/>
  <c r="E270" i="1"/>
  <c r="E323" i="1"/>
  <c r="D322" i="1"/>
  <c r="C322" i="1"/>
  <c r="B322" i="1"/>
  <c r="B110" i="1"/>
  <c r="D81" i="1"/>
  <c r="C81" i="1"/>
  <c r="B81" i="1"/>
  <c r="C7" i="1"/>
  <c r="D7" i="1"/>
  <c r="B7" i="1"/>
  <c r="D164" i="1"/>
  <c r="D202" i="1"/>
  <c r="D203" i="1"/>
  <c r="D204" i="1"/>
  <c r="D205" i="1"/>
  <c r="D206" i="1"/>
  <c r="D207" i="1"/>
  <c r="D208" i="1"/>
  <c r="D209" i="1"/>
  <c r="D210" i="1"/>
  <c r="C210" i="1"/>
  <c r="C209" i="1"/>
  <c r="C208" i="1"/>
  <c r="C204" i="1"/>
  <c r="C207" i="1"/>
  <c r="C206" i="1"/>
  <c r="C205" i="1"/>
  <c r="C203" i="1"/>
  <c r="C202" i="1"/>
  <c r="D189" i="1"/>
  <c r="D190" i="1"/>
  <c r="D191" i="1"/>
  <c r="D192" i="1"/>
  <c r="D193" i="1"/>
  <c r="D198" i="1"/>
  <c r="D199" i="1"/>
  <c r="D201" i="1"/>
  <c r="C201" i="1"/>
  <c r="C198" i="1"/>
  <c r="C199" i="1"/>
  <c r="C193" i="1"/>
  <c r="C192" i="1"/>
  <c r="C191" i="1"/>
  <c r="C190" i="1"/>
  <c r="C189" i="1"/>
  <c r="D186" i="1"/>
  <c r="D187" i="1"/>
  <c r="D188" i="1"/>
  <c r="C188" i="1"/>
  <c r="C187" i="1"/>
  <c r="C186" i="1"/>
  <c r="D182" i="1"/>
  <c r="D183" i="1"/>
  <c r="D184" i="1"/>
  <c r="D185" i="1"/>
  <c r="C185" i="1"/>
  <c r="C184" i="1"/>
  <c r="C183" i="1"/>
  <c r="C182" i="1"/>
  <c r="D172" i="1"/>
  <c r="D173" i="1"/>
  <c r="D174" i="1"/>
  <c r="D175" i="1"/>
  <c r="D176" i="1"/>
  <c r="D177" i="1"/>
  <c r="D178" i="1"/>
  <c r="D179" i="1"/>
  <c r="D180" i="1"/>
  <c r="C180" i="1"/>
  <c r="C179" i="1"/>
  <c r="C178" i="1"/>
  <c r="C177" i="1"/>
  <c r="C176" i="1"/>
  <c r="C175" i="1"/>
  <c r="C174" i="1"/>
  <c r="C173" i="1"/>
  <c r="C172" i="1"/>
  <c r="D167" i="1"/>
  <c r="C167" i="1"/>
  <c r="D169" i="1"/>
  <c r="D170" i="1"/>
  <c r="C170" i="1"/>
  <c r="C169" i="1"/>
  <c r="C164" i="1"/>
  <c r="D160" i="1"/>
  <c r="D161" i="1"/>
  <c r="D163" i="1"/>
  <c r="D166" i="1"/>
  <c r="C166" i="1"/>
  <c r="C163" i="1"/>
  <c r="C161" i="1"/>
  <c r="C160" i="1"/>
  <c r="D159" i="1"/>
  <c r="C159" i="1"/>
  <c r="D156" i="1"/>
  <c r="D157" i="1"/>
  <c r="D158" i="1"/>
  <c r="C158" i="1"/>
  <c r="C157" i="1"/>
  <c r="C156" i="1"/>
  <c r="D155" i="1"/>
  <c r="C155" i="1"/>
  <c r="D154" i="1"/>
  <c r="C154" i="1"/>
  <c r="D153" i="1"/>
  <c r="C153" i="1"/>
  <c r="D152" i="1"/>
  <c r="C152" i="1"/>
  <c r="D151" i="1"/>
  <c r="C151" i="1"/>
  <c r="E149" i="1"/>
  <c r="E150" i="1"/>
  <c r="D148" i="1"/>
  <c r="C148" i="1"/>
  <c r="J48" i="4" l="1"/>
  <c r="K48" i="4"/>
  <c r="D147" i="1"/>
  <c r="E151" i="1"/>
  <c r="E302" i="1"/>
  <c r="D305" i="1"/>
  <c r="C305" i="1"/>
  <c r="D303" i="1"/>
  <c r="C303" i="1"/>
  <c r="E314" i="1"/>
  <c r="E312" i="1"/>
  <c r="E307" i="1"/>
  <c r="E308" i="1"/>
  <c r="D301" i="1"/>
  <c r="C301" i="1"/>
  <c r="E297" i="1"/>
  <c r="E298" i="1"/>
  <c r="E299" i="1"/>
  <c r="E300" i="1"/>
  <c r="E304" i="1"/>
  <c r="E306" i="1"/>
  <c r="D295" i="1"/>
  <c r="C295" i="1"/>
  <c r="E305" i="1" l="1"/>
  <c r="C293" i="1"/>
  <c r="E303" i="1"/>
  <c r="D293" i="1"/>
  <c r="E301" i="1"/>
  <c r="E58" i="4"/>
  <c r="E61" i="4"/>
  <c r="E62" i="4"/>
  <c r="E65" i="4"/>
  <c r="E66" i="4"/>
  <c r="E67" i="4"/>
  <c r="E73" i="4"/>
  <c r="E72" i="4"/>
  <c r="E71" i="4"/>
  <c r="C57" i="4"/>
  <c r="D57" i="4"/>
  <c r="B57" i="4"/>
  <c r="E33" i="4"/>
  <c r="E36" i="4"/>
  <c r="B30" i="4"/>
  <c r="D264" i="8"/>
  <c r="D268" i="8" s="1"/>
  <c r="C264" i="8"/>
  <c r="C268" i="8" s="1"/>
  <c r="E266" i="8"/>
  <c r="E265" i="8"/>
  <c r="B264" i="8"/>
  <c r="B268" i="8" s="1"/>
  <c r="E283" i="8"/>
  <c r="E281" i="8"/>
  <c r="E264" i="8" l="1"/>
  <c r="E278" i="8" l="1"/>
  <c r="C277" i="8"/>
  <c r="E276" i="8"/>
  <c r="E255" i="8"/>
  <c r="D256" i="8"/>
  <c r="D254" i="8" s="1"/>
  <c r="D258" i="8" s="1"/>
  <c r="C256" i="8"/>
  <c r="C254" i="8" s="1"/>
  <c r="C258" i="8" s="1"/>
  <c r="E232" i="8"/>
  <c r="E233" i="8"/>
  <c r="E234" i="8"/>
  <c r="E235" i="8"/>
  <c r="E236" i="8"/>
  <c r="E237" i="8"/>
  <c r="E238" i="8"/>
  <c r="E239" i="8"/>
  <c r="E240" i="8"/>
  <c r="E231" i="8"/>
  <c r="E162" i="8"/>
  <c r="E163" i="8"/>
  <c r="E164" i="8"/>
  <c r="E165" i="8"/>
  <c r="E166" i="8"/>
  <c r="E167" i="8"/>
  <c r="E168" i="8"/>
  <c r="C144" i="8"/>
  <c r="D144" i="8"/>
  <c r="B144" i="8"/>
  <c r="E179" i="8"/>
  <c r="C217" i="8"/>
  <c r="E217" i="8" s="1"/>
  <c r="C85" i="8"/>
  <c r="D85" i="8"/>
  <c r="E277" i="8" l="1"/>
  <c r="C274" i="8"/>
  <c r="E256" i="8"/>
  <c r="E295" i="1"/>
  <c r="E296" i="1"/>
  <c r="E309" i="1"/>
  <c r="E310" i="1"/>
  <c r="E311" i="1"/>
  <c r="E313" i="1"/>
  <c r="C341" i="1" l="1"/>
  <c r="E341" i="1" s="1"/>
  <c r="E343" i="1"/>
  <c r="E342" i="1"/>
  <c r="E337" i="1"/>
  <c r="E335" i="1"/>
  <c r="E334" i="1"/>
  <c r="D134" i="8" l="1"/>
  <c r="C134" i="8"/>
  <c r="D133" i="8"/>
  <c r="D129" i="8" s="1"/>
  <c r="D137" i="8" s="1"/>
  <c r="C133" i="8"/>
  <c r="C129" i="8" s="1"/>
  <c r="C137" i="8" s="1"/>
  <c r="E131" i="8"/>
  <c r="E132" i="8"/>
  <c r="E101" i="8"/>
  <c r="E102" i="8"/>
  <c r="E103" i="8"/>
  <c r="E106" i="8"/>
  <c r="E108" i="8"/>
  <c r="E121" i="8"/>
  <c r="E122" i="8"/>
  <c r="E123" i="8"/>
  <c r="E124" i="8"/>
  <c r="E80" i="8" l="1"/>
  <c r="E79" i="8"/>
  <c r="E78" i="8"/>
  <c r="E77" i="8"/>
  <c r="E22" i="8"/>
  <c r="E21" i="8"/>
  <c r="E20" i="8"/>
  <c r="E19" i="8"/>
  <c r="E17" i="8"/>
  <c r="E16" i="8"/>
  <c r="E15" i="8"/>
  <c r="B7" i="4" l="1"/>
  <c r="E11" i="4"/>
  <c r="E97" i="4" l="1"/>
  <c r="C96" i="4"/>
  <c r="J94" i="4" s="1"/>
  <c r="J95" i="4" s="1"/>
  <c r="D96" i="4"/>
  <c r="K94" i="4" s="1"/>
  <c r="B96" i="4"/>
  <c r="I94" i="4" s="1"/>
  <c r="I95" i="4" s="1"/>
  <c r="B77" i="4" l="1"/>
  <c r="I186" i="8"/>
  <c r="E255" i="1"/>
  <c r="I77" i="4" l="1"/>
  <c r="I78" i="4" s="1"/>
  <c r="B84" i="4"/>
  <c r="B122" i="4" s="1"/>
  <c r="E90" i="4"/>
  <c r="D92" i="4"/>
  <c r="D91" i="4"/>
  <c r="E106" i="4"/>
  <c r="E114" i="4"/>
  <c r="D14" i="4"/>
  <c r="D13" i="4"/>
  <c r="D12" i="4"/>
  <c r="D32" i="4"/>
  <c r="K33" i="4" s="1"/>
  <c r="K35" i="4" s="1"/>
  <c r="C22" i="10"/>
  <c r="C19" i="10" s="1"/>
  <c r="E21" i="10"/>
  <c r="D19" i="10"/>
  <c r="B19" i="10"/>
  <c r="E12" i="4" l="1"/>
  <c r="K17" i="4"/>
  <c r="D7" i="4"/>
  <c r="E91" i="4"/>
  <c r="D89" i="4"/>
  <c r="K93" i="4"/>
  <c r="K95" i="4" s="1"/>
  <c r="K254" i="8"/>
  <c r="J254" i="8"/>
  <c r="I254" i="8"/>
  <c r="E248" i="8"/>
  <c r="E249" i="8"/>
  <c r="D216" i="8"/>
  <c r="K215" i="8" s="1"/>
  <c r="C216" i="8"/>
  <c r="J215" i="8" s="1"/>
  <c r="B216" i="8"/>
  <c r="C184" i="8"/>
  <c r="D184" i="8"/>
  <c r="B184" i="8"/>
  <c r="E186" i="8"/>
  <c r="E153" i="8"/>
  <c r="E154" i="8"/>
  <c r="E155" i="8"/>
  <c r="E156" i="8"/>
  <c r="E157" i="8"/>
  <c r="E158" i="8"/>
  <c r="E159" i="8"/>
  <c r="E160" i="8"/>
  <c r="E161" i="8"/>
  <c r="E152" i="8"/>
  <c r="E99" i="8"/>
  <c r="E98" i="8"/>
  <c r="I183" i="8" l="1"/>
  <c r="I187" i="8" s="1"/>
  <c r="B188" i="8"/>
  <c r="K183" i="8"/>
  <c r="D188" i="8"/>
  <c r="J183" i="8"/>
  <c r="J187" i="8" s="1"/>
  <c r="C188" i="8"/>
  <c r="I215" i="8"/>
  <c r="B220" i="8"/>
  <c r="E254" i="8"/>
  <c r="E216" i="8"/>
  <c r="E184" i="8"/>
  <c r="E72" i="8"/>
  <c r="E68" i="8"/>
  <c r="E67" i="8"/>
  <c r="E9" i="8"/>
  <c r="E10" i="8"/>
  <c r="E11" i="8"/>
  <c r="E12" i="8"/>
  <c r="E13" i="8"/>
  <c r="E14" i="8"/>
  <c r="E23" i="8"/>
  <c r="E2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85" i="8"/>
  <c r="D84" i="8"/>
  <c r="C84" i="8"/>
  <c r="B84" i="8"/>
  <c r="B49" i="4"/>
  <c r="C49" i="4"/>
  <c r="D49" i="4"/>
  <c r="E50" i="4"/>
  <c r="D113" i="4"/>
  <c r="C113" i="4"/>
  <c r="C116" i="4" s="1"/>
  <c r="C125" i="4" s="1"/>
  <c r="B113" i="4"/>
  <c r="B116" i="4" s="1"/>
  <c r="B125" i="4" s="1"/>
  <c r="B147" i="1"/>
  <c r="B213" i="1" s="1"/>
  <c r="E371" i="1"/>
  <c r="E372" i="1"/>
  <c r="C369" i="1"/>
  <c r="D369" i="1"/>
  <c r="B369" i="1"/>
  <c r="C357" i="1"/>
  <c r="D357" i="1"/>
  <c r="B357" i="1"/>
  <c r="C363" i="1"/>
  <c r="D363" i="1"/>
  <c r="B363" i="1"/>
  <c r="E373" i="1"/>
  <c r="E370" i="1"/>
  <c r="E365" i="1"/>
  <c r="E364" i="1"/>
  <c r="E359" i="1"/>
  <c r="E358" i="1"/>
  <c r="D347" i="1"/>
  <c r="C347" i="1"/>
  <c r="E348" i="1"/>
  <c r="E349" i="1"/>
  <c r="B347" i="1"/>
  <c r="E102" i="1"/>
  <c r="D101" i="1"/>
  <c r="C101" i="1"/>
  <c r="B101" i="1"/>
  <c r="B332" i="1"/>
  <c r="E333" i="1"/>
  <c r="D332" i="1"/>
  <c r="C332" i="1"/>
  <c r="C351" i="1" s="1"/>
  <c r="C263" i="1"/>
  <c r="C317" i="1" s="1"/>
  <c r="D263" i="1"/>
  <c r="D317" i="1" s="1"/>
  <c r="B263" i="1"/>
  <c r="B317" i="1" s="1"/>
  <c r="D20" i="10"/>
  <c r="E20" i="10" s="1"/>
  <c r="C24" i="10"/>
  <c r="C40" i="10" s="1"/>
  <c r="B24" i="10"/>
  <c r="B40" i="10" s="1"/>
  <c r="D8" i="10"/>
  <c r="D9" i="10"/>
  <c r="C9" i="10"/>
  <c r="E9" i="10" s="1"/>
  <c r="C8" i="10"/>
  <c r="B7" i="10"/>
  <c r="E254" i="1"/>
  <c r="E256" i="1"/>
  <c r="B253" i="1"/>
  <c r="E222" i="1"/>
  <c r="E223" i="1"/>
  <c r="E224" i="1"/>
  <c r="E225" i="1"/>
  <c r="E226" i="1"/>
  <c r="E229" i="1"/>
  <c r="E230" i="1"/>
  <c r="E231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D253" i="1"/>
  <c r="C253" i="1"/>
  <c r="K82" i="8" l="1"/>
  <c r="K316" i="8" s="1"/>
  <c r="D87" i="8"/>
  <c r="J82" i="8"/>
  <c r="J316" i="8" s="1"/>
  <c r="C87" i="8"/>
  <c r="I82" i="8"/>
  <c r="I316" i="8" s="1"/>
  <c r="B87" i="8"/>
  <c r="D351" i="1"/>
  <c r="B351" i="1"/>
  <c r="D375" i="1"/>
  <c r="D386" i="1" s="1"/>
  <c r="C375" i="1"/>
  <c r="C386" i="1" s="1"/>
  <c r="B375" i="1"/>
  <c r="B386" i="1" s="1"/>
  <c r="E49" i="4"/>
  <c r="E84" i="8"/>
  <c r="E113" i="4"/>
  <c r="D116" i="4"/>
  <c r="D125" i="4" s="1"/>
  <c r="E369" i="1"/>
  <c r="E363" i="1"/>
  <c r="E357" i="1"/>
  <c r="E347" i="1"/>
  <c r="E101" i="1"/>
  <c r="E332" i="1"/>
  <c r="E293" i="1"/>
  <c r="D7" i="10"/>
  <c r="C7" i="10"/>
  <c r="E8" i="10"/>
  <c r="E253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148" i="1"/>
  <c r="C147" i="1"/>
  <c r="E112" i="1"/>
  <c r="E113" i="1"/>
  <c r="E114" i="1"/>
  <c r="E115" i="1"/>
  <c r="E116" i="1"/>
  <c r="E117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4" i="1"/>
  <c r="E135" i="1"/>
  <c r="E136" i="1"/>
  <c r="E137" i="1"/>
  <c r="E138" i="1"/>
  <c r="E139" i="1"/>
  <c r="E140" i="1"/>
  <c r="E11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82" i="1"/>
  <c r="E97" i="1"/>
  <c r="C110" i="1"/>
  <c r="D110" i="1"/>
  <c r="E142" i="1"/>
  <c r="E143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9" i="1"/>
  <c r="E30" i="1"/>
  <c r="E32" i="1"/>
  <c r="E33" i="1"/>
  <c r="E34" i="1"/>
  <c r="E36" i="1"/>
  <c r="E37" i="1"/>
  <c r="E38" i="1"/>
  <c r="E39" i="1"/>
  <c r="E40" i="1"/>
  <c r="E42" i="1"/>
  <c r="E44" i="1"/>
  <c r="E45" i="1"/>
  <c r="E46" i="1"/>
  <c r="E47" i="1"/>
  <c r="E48" i="1"/>
  <c r="E49" i="1"/>
  <c r="E58" i="1"/>
  <c r="E61" i="1"/>
  <c r="E64" i="1"/>
  <c r="E65" i="1"/>
  <c r="E69" i="1"/>
  <c r="E70" i="1"/>
  <c r="E71" i="1"/>
  <c r="E72" i="1"/>
  <c r="E73" i="1"/>
  <c r="E74" i="1"/>
  <c r="E77" i="1"/>
  <c r="E375" i="1" l="1"/>
  <c r="E386" i="1"/>
  <c r="C213" i="1"/>
  <c r="E116" i="4"/>
  <c r="E125" i="4"/>
  <c r="D24" i="10"/>
  <c r="E19" i="10"/>
  <c r="D213" i="1"/>
  <c r="E110" i="1"/>
  <c r="E147" i="1"/>
  <c r="C130" i="4"/>
  <c r="D130" i="4"/>
  <c r="B130" i="4"/>
  <c r="C135" i="4"/>
  <c r="D135" i="4"/>
  <c r="B135" i="4"/>
  <c r="C136" i="4"/>
  <c r="D136" i="4"/>
  <c r="B136" i="4"/>
  <c r="D19" i="4"/>
  <c r="K18" i="4" s="1"/>
  <c r="K19" i="4" s="1"/>
  <c r="I134" i="8"/>
  <c r="I135" i="8" s="1"/>
  <c r="E133" i="8"/>
  <c r="E250" i="8"/>
  <c r="E247" i="8"/>
  <c r="E246" i="8"/>
  <c r="E245" i="8"/>
  <c r="E296" i="8"/>
  <c r="C30" i="7"/>
  <c r="B30" i="7"/>
  <c r="J85" i="8"/>
  <c r="I85" i="8"/>
  <c r="E210" i="8"/>
  <c r="E211" i="8"/>
  <c r="E209" i="8"/>
  <c r="E212" i="8"/>
  <c r="J291" i="8"/>
  <c r="J321" i="8" s="1"/>
  <c r="E282" i="8"/>
  <c r="E32" i="10"/>
  <c r="D31" i="10"/>
  <c r="C31" i="10"/>
  <c r="C34" i="10" s="1"/>
  <c r="B31" i="10"/>
  <c r="J292" i="8"/>
  <c r="J322" i="8" s="1"/>
  <c r="D295" i="8"/>
  <c r="C295" i="8"/>
  <c r="I295" i="8"/>
  <c r="I325" i="8" s="1"/>
  <c r="E294" i="8"/>
  <c r="E230" i="8"/>
  <c r="E229" i="8"/>
  <c r="I218" i="8"/>
  <c r="E174" i="8"/>
  <c r="E176" i="8"/>
  <c r="E177" i="8"/>
  <c r="E178" i="8"/>
  <c r="E71" i="8"/>
  <c r="E10" i="10"/>
  <c r="D12" i="10"/>
  <c r="D39" i="10" s="1"/>
  <c r="B12" i="10"/>
  <c r="B39" i="10" s="1"/>
  <c r="J294" i="8"/>
  <c r="J324" i="8" s="1"/>
  <c r="I294" i="8"/>
  <c r="I324" i="8" s="1"/>
  <c r="E292" i="8"/>
  <c r="E291" i="8"/>
  <c r="K293" i="8"/>
  <c r="K323" i="8" s="1"/>
  <c r="J293" i="8"/>
  <c r="J323" i="8" s="1"/>
  <c r="I293" i="8"/>
  <c r="I323" i="8" s="1"/>
  <c r="E289" i="8"/>
  <c r="E285" i="8"/>
  <c r="K292" i="8"/>
  <c r="K322" i="8" s="1"/>
  <c r="I292" i="8"/>
  <c r="I322" i="8" s="1"/>
  <c r="K291" i="8"/>
  <c r="K321" i="8" s="1"/>
  <c r="E279" i="8"/>
  <c r="E275" i="8"/>
  <c r="K290" i="8"/>
  <c r="J290" i="8"/>
  <c r="I290" i="8"/>
  <c r="E228" i="8"/>
  <c r="E227" i="8"/>
  <c r="E180" i="8"/>
  <c r="E175" i="8"/>
  <c r="K186" i="8"/>
  <c r="K187" i="8" s="1"/>
  <c r="E94" i="8"/>
  <c r="K85" i="8"/>
  <c r="E8" i="8"/>
  <c r="C220" i="1"/>
  <c r="C258" i="1" s="1"/>
  <c r="E324" i="1"/>
  <c r="C104" i="1"/>
  <c r="D104" i="1"/>
  <c r="B104" i="1"/>
  <c r="D105" i="4"/>
  <c r="C105" i="4"/>
  <c r="B105" i="4"/>
  <c r="E92" i="4"/>
  <c r="E98" i="4"/>
  <c r="D133" i="4"/>
  <c r="C133" i="4"/>
  <c r="B133" i="4"/>
  <c r="E45" i="4"/>
  <c r="D44" i="4"/>
  <c r="D52" i="4" s="1"/>
  <c r="D121" i="4" s="1"/>
  <c r="C44" i="4"/>
  <c r="B44" i="4"/>
  <c r="D132" i="4"/>
  <c r="C132" i="4"/>
  <c r="B132" i="4"/>
  <c r="C19" i="4"/>
  <c r="B19" i="4"/>
  <c r="I18" i="4" s="1"/>
  <c r="I19" i="4" s="1"/>
  <c r="E20" i="4"/>
  <c r="E21" i="4"/>
  <c r="E22" i="4"/>
  <c r="E23" i="4"/>
  <c r="C30" i="4"/>
  <c r="C39" i="4" s="1"/>
  <c r="C120" i="4" s="1"/>
  <c r="D30" i="4"/>
  <c r="D39" i="4" s="1"/>
  <c r="D120" i="4" s="1"/>
  <c r="B39" i="4"/>
  <c r="B120" i="4" s="1"/>
  <c r="E70" i="4"/>
  <c r="E34" i="4"/>
  <c r="E35" i="4"/>
  <c r="E37" i="4"/>
  <c r="E249" i="1"/>
  <c r="C384" i="1"/>
  <c r="E15" i="4"/>
  <c r="E14" i="4"/>
  <c r="E13" i="4"/>
  <c r="D77" i="4"/>
  <c r="K77" i="4" s="1"/>
  <c r="K78" i="4" s="1"/>
  <c r="E80" i="4"/>
  <c r="E81" i="4"/>
  <c r="E82" i="4"/>
  <c r="E32" i="4"/>
  <c r="E8" i="4"/>
  <c r="E9" i="4"/>
  <c r="E10" i="4"/>
  <c r="E31" i="4"/>
  <c r="E59" i="4"/>
  <c r="E60" i="4"/>
  <c r="D258" i="1"/>
  <c r="B384" i="1"/>
  <c r="B21" i="7" s="1"/>
  <c r="B220" i="1"/>
  <c r="B258" i="1" s="1"/>
  <c r="E325" i="1"/>
  <c r="E326" i="1"/>
  <c r="E327" i="1"/>
  <c r="E221" i="1"/>
  <c r="E264" i="1"/>
  <c r="C77" i="4"/>
  <c r="J77" i="4" s="1"/>
  <c r="J78" i="4" s="1"/>
  <c r="C12" i="10"/>
  <c r="E7" i="10"/>
  <c r="E130" i="8"/>
  <c r="B34" i="10"/>
  <c r="B41" i="10"/>
  <c r="E31" i="10" l="1"/>
  <c r="B42" i="10"/>
  <c r="B45" i="7" s="1"/>
  <c r="B8" i="7"/>
  <c r="K295" i="8"/>
  <c r="K325" i="8" s="1"/>
  <c r="D298" i="8"/>
  <c r="J295" i="8"/>
  <c r="J325" i="8" s="1"/>
  <c r="C298" i="8"/>
  <c r="I291" i="8"/>
  <c r="I321" i="8" s="1"/>
  <c r="B298" i="8"/>
  <c r="B309" i="8" s="1"/>
  <c r="B33" i="7" s="1"/>
  <c r="B32" i="7" s="1"/>
  <c r="I320" i="8"/>
  <c r="J320" i="8"/>
  <c r="J296" i="8"/>
  <c r="K320" i="8"/>
  <c r="K86" i="8"/>
  <c r="J86" i="8"/>
  <c r="I86" i="8"/>
  <c r="I319" i="8"/>
  <c r="I219" i="8"/>
  <c r="C108" i="4"/>
  <c r="J106" i="4"/>
  <c r="J108" i="4" s="1"/>
  <c r="C131" i="4"/>
  <c r="J18" i="4"/>
  <c r="J19" i="4" s="1"/>
  <c r="B108" i="4"/>
  <c r="I106" i="4"/>
  <c r="I108" i="4" s="1"/>
  <c r="D108" i="4"/>
  <c r="D124" i="4" s="1"/>
  <c r="K106" i="4"/>
  <c r="K108" i="4" s="1"/>
  <c r="B308" i="8"/>
  <c r="B28" i="7" s="1"/>
  <c r="B307" i="8"/>
  <c r="B24" i="7" s="1"/>
  <c r="D307" i="8"/>
  <c r="D24" i="7" s="1"/>
  <c r="D23" i="7" s="1"/>
  <c r="C307" i="8"/>
  <c r="C24" i="7" s="1"/>
  <c r="D34" i="10"/>
  <c r="D41" i="10" s="1"/>
  <c r="B306" i="8"/>
  <c r="B20" i="7" s="1"/>
  <c r="C305" i="8"/>
  <c r="C15" i="7" s="1"/>
  <c r="C52" i="4"/>
  <c r="B52" i="4"/>
  <c r="D305" i="8"/>
  <c r="D15" i="7" s="1"/>
  <c r="E226" i="8"/>
  <c r="E195" i="8"/>
  <c r="E173" i="8"/>
  <c r="E280" i="8"/>
  <c r="B305" i="8"/>
  <c r="B15" i="7" s="1"/>
  <c r="E284" i="8"/>
  <c r="E144" i="8"/>
  <c r="E295" i="8"/>
  <c r="E290" i="8"/>
  <c r="E93" i="8"/>
  <c r="C308" i="8"/>
  <c r="C28" i="7" s="1"/>
  <c r="E274" i="8"/>
  <c r="K134" i="8"/>
  <c r="K135" i="8" s="1"/>
  <c r="E243" i="8"/>
  <c r="E7" i="8"/>
  <c r="D303" i="8"/>
  <c r="D5" i="7" s="1"/>
  <c r="D4" i="7" s="1"/>
  <c r="E76" i="8"/>
  <c r="E77" i="4"/>
  <c r="E7" i="4"/>
  <c r="E30" i="4"/>
  <c r="B134" i="4"/>
  <c r="E57" i="4"/>
  <c r="E89" i="4"/>
  <c r="C100" i="4"/>
  <c r="D25" i="4"/>
  <c r="D119" i="4" s="1"/>
  <c r="E96" i="4"/>
  <c r="B100" i="4"/>
  <c r="D100" i="4"/>
  <c r="D134" i="4"/>
  <c r="C84" i="4"/>
  <c r="D131" i="4"/>
  <c r="C385" i="1"/>
  <c r="B385" i="1"/>
  <c r="E24" i="10"/>
  <c r="D40" i="10"/>
  <c r="E12" i="10"/>
  <c r="C39" i="10"/>
  <c r="E39" i="10" s="1"/>
  <c r="C41" i="10"/>
  <c r="B383" i="1"/>
  <c r="C383" i="1"/>
  <c r="E108" i="4"/>
  <c r="D84" i="4"/>
  <c r="D122" i="4" s="1"/>
  <c r="E105" i="4"/>
  <c r="E44" i="4"/>
  <c r="C134" i="4"/>
  <c r="C129" i="4" s="1"/>
  <c r="B25" i="4"/>
  <c r="B119" i="4" s="1"/>
  <c r="B131" i="4"/>
  <c r="E19" i="4"/>
  <c r="C119" i="4"/>
  <c r="C382" i="1"/>
  <c r="B382" i="1"/>
  <c r="E322" i="1"/>
  <c r="E220" i="1"/>
  <c r="D383" i="1"/>
  <c r="D16" i="7" s="1"/>
  <c r="D14" i="7" s="1"/>
  <c r="E317" i="1"/>
  <c r="D384" i="1"/>
  <c r="E351" i="1"/>
  <c r="D385" i="1"/>
  <c r="E263" i="1"/>
  <c r="E7" i="1"/>
  <c r="D308" i="8"/>
  <c r="D28" i="7" s="1"/>
  <c r="D30" i="7"/>
  <c r="J218" i="8"/>
  <c r="C42" i="10" l="1"/>
  <c r="C45" i="7" s="1"/>
  <c r="C18" i="7"/>
  <c r="I296" i="8"/>
  <c r="I326" i="8"/>
  <c r="E293" i="8"/>
  <c r="K294" i="8"/>
  <c r="C303" i="8"/>
  <c r="C5" i="7" s="1"/>
  <c r="B303" i="8"/>
  <c r="B5" i="7" s="1"/>
  <c r="B4" i="7" s="1"/>
  <c r="J219" i="8"/>
  <c r="D220" i="8"/>
  <c r="K218" i="8"/>
  <c r="K319" i="8" s="1"/>
  <c r="J134" i="8"/>
  <c r="B121" i="4"/>
  <c r="C121" i="4"/>
  <c r="E121" i="4" s="1"/>
  <c r="B124" i="4"/>
  <c r="B27" i="7" s="1"/>
  <c r="C27" i="7"/>
  <c r="C124" i="4"/>
  <c r="C122" i="4"/>
  <c r="D123" i="4"/>
  <c r="C123" i="4"/>
  <c r="B123" i="4"/>
  <c r="D126" i="4"/>
  <c r="E52" i="4"/>
  <c r="D42" i="10"/>
  <c r="E34" i="10"/>
  <c r="E41" i="10" s="1"/>
  <c r="E40" i="10"/>
  <c r="C220" i="8"/>
  <c r="C306" i="8" s="1"/>
  <c r="C20" i="7" s="1"/>
  <c r="B19" i="7"/>
  <c r="E122" i="4"/>
  <c r="E268" i="8"/>
  <c r="C309" i="8"/>
  <c r="C33" i="7" s="1"/>
  <c r="C32" i="7" s="1"/>
  <c r="E129" i="8"/>
  <c r="E258" i="8"/>
  <c r="E188" i="8"/>
  <c r="E87" i="8"/>
  <c r="E305" i="8"/>
  <c r="E123" i="4"/>
  <c r="B129" i="4"/>
  <c r="E39" i="4"/>
  <c r="B14" i="7"/>
  <c r="E100" i="4"/>
  <c r="D129" i="4"/>
  <c r="E84" i="4"/>
  <c r="E42" i="10"/>
  <c r="E258" i="1"/>
  <c r="C381" i="1"/>
  <c r="C6" i="7" s="1"/>
  <c r="B381" i="1"/>
  <c r="B387" i="1" s="1"/>
  <c r="B43" i="7" s="1"/>
  <c r="E104" i="1"/>
  <c r="E124" i="4"/>
  <c r="E25" i="4"/>
  <c r="E119" i="4"/>
  <c r="E81" i="1"/>
  <c r="E384" i="1"/>
  <c r="E385" i="1"/>
  <c r="E383" i="1"/>
  <c r="D381" i="1"/>
  <c r="E308" i="8"/>
  <c r="E208" i="8"/>
  <c r="E307" i="8"/>
  <c r="C4" i="7" l="1"/>
  <c r="E303" i="8"/>
  <c r="K324" i="8"/>
  <c r="K326" i="8" s="1"/>
  <c r="K296" i="8"/>
  <c r="J135" i="8"/>
  <c r="J319" i="8"/>
  <c r="J326" i="8" s="1"/>
  <c r="C304" i="8"/>
  <c r="D304" i="8"/>
  <c r="D10" i="7" s="1"/>
  <c r="D9" i="7" s="1"/>
  <c r="K219" i="8"/>
  <c r="C14" i="7"/>
  <c r="C126" i="4"/>
  <c r="B126" i="4"/>
  <c r="C19" i="7"/>
  <c r="E126" i="4"/>
  <c r="C23" i="7"/>
  <c r="B23" i="7"/>
  <c r="E137" i="8"/>
  <c r="E298" i="8"/>
  <c r="D309" i="8"/>
  <c r="D33" i="7" s="1"/>
  <c r="D32" i="7" s="1"/>
  <c r="D27" i="7"/>
  <c r="D35" i="7" s="1"/>
  <c r="E120" i="4"/>
  <c r="C387" i="1"/>
  <c r="C43" i="7" s="1"/>
  <c r="E213" i="1"/>
  <c r="D382" i="1"/>
  <c r="D387" i="1" s="1"/>
  <c r="E381" i="1"/>
  <c r="E220" i="8"/>
  <c r="D306" i="8"/>
  <c r="D20" i="7" s="1"/>
  <c r="D19" i="7" s="1"/>
  <c r="C310" i="8" l="1"/>
  <c r="C42" i="7" s="1"/>
  <c r="C46" i="7" s="1"/>
  <c r="C10" i="7"/>
  <c r="C9" i="7" s="1"/>
  <c r="C35" i="7" s="1"/>
  <c r="D43" i="7"/>
  <c r="C410" i="1"/>
  <c r="C411" i="1" s="1"/>
  <c r="E304" i="8"/>
  <c r="E309" i="8"/>
  <c r="E387" i="1"/>
  <c r="E382" i="1"/>
  <c r="E306" i="8"/>
  <c r="D310" i="8"/>
  <c r="E310" i="8" l="1"/>
  <c r="D42" i="7"/>
  <c r="D46" i="7" s="1"/>
  <c r="B304" i="8"/>
  <c r="B10" i="7" s="1"/>
  <c r="B9" i="7" s="1"/>
  <c r="B35" i="7" s="1"/>
  <c r="B310" i="8" l="1"/>
  <c r="B42" i="7" s="1"/>
  <c r="B46" i="7" s="1"/>
</calcChain>
</file>

<file path=xl/sharedStrings.xml><?xml version="1.0" encoding="utf-8"?>
<sst xmlns="http://schemas.openxmlformats.org/spreadsheetml/2006/main" count="1444" uniqueCount="644">
  <si>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</si>
  <si>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</si>
  <si>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</si>
  <si>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</si>
  <si>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</si>
  <si>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</si>
  <si>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</si>
  <si>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</si>
  <si>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</si>
  <si>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</si>
  <si>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</si>
  <si>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</si>
  <si>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</si>
  <si>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</si>
  <si>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</si>
  <si>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</si>
  <si>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</si>
  <si>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</si>
  <si>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</si>
  <si>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ORG 60004</t>
  </si>
  <si>
    <t>ORG 6005</t>
  </si>
  <si>
    <t>ORG 6002</t>
  </si>
  <si>
    <t>ORG 6001</t>
  </si>
  <si>
    <t>ORG 6003</t>
  </si>
  <si>
    <t>60001100538</t>
  </si>
  <si>
    <t>60001100607</t>
  </si>
  <si>
    <t xml:space="preserve">Domov pro seniory Javorník - evakuační lůžkový výtah </t>
  </si>
  <si>
    <t>oblast krizového řízení</t>
  </si>
  <si>
    <t xml:space="preserve"> - oblast krizového řízení</t>
  </si>
  <si>
    <t>a) Financovano z úvěrového rámce Evropské investiční banky ( 3 000 tis.Kč)</t>
  </si>
  <si>
    <t>1. Oblast školství</t>
  </si>
  <si>
    <t>a) akce zajišťované odborem investic a evropských programů</t>
  </si>
  <si>
    <t>b) akce zajišťované příspěvkovými organizacemi</t>
  </si>
  <si>
    <t xml:space="preserve">Oblast školství celkem </t>
  </si>
  <si>
    <t xml:space="preserve">Oblast sociální celkem </t>
  </si>
  <si>
    <t>2. Oblast sociální</t>
  </si>
  <si>
    <t>3. Oblast kultury</t>
  </si>
  <si>
    <t xml:space="preserve">Oblast kultury celkem </t>
  </si>
  <si>
    <t xml:space="preserve">Oblast zdravotnictví celkem </t>
  </si>
  <si>
    <t>b) akce zajišťované Správou silnic Olomouckého kraje (ORG 1600)</t>
  </si>
  <si>
    <t>6. Oblast krizového řízení</t>
  </si>
  <si>
    <t xml:space="preserve">Oblast dopravy celkem </t>
  </si>
  <si>
    <t xml:space="preserve">Oblast krizového řízení celkem </t>
  </si>
  <si>
    <t>4. Oblast dopravy</t>
  </si>
  <si>
    <t>5. Oblast zdravotnictví</t>
  </si>
  <si>
    <t xml:space="preserve"> - rozpočet kraje</t>
  </si>
  <si>
    <t xml:space="preserve"> - úvěr KB</t>
  </si>
  <si>
    <t xml:space="preserve"> - úvěr EIB</t>
  </si>
  <si>
    <t xml:space="preserve"> - účelová dotace ze MŽP a SFŽP</t>
  </si>
  <si>
    <t>oblast cestovního ruchu</t>
  </si>
  <si>
    <t>oblast krajské správy</t>
  </si>
  <si>
    <t>CELKEM</t>
  </si>
  <si>
    <t xml:space="preserve">Rekapitulace dle zdrojů: </t>
  </si>
  <si>
    <t>rozpočet Olomouckého kraje</t>
  </si>
  <si>
    <t>úvěrový rámec KB</t>
  </si>
  <si>
    <t>úvěrový rámec EIB</t>
  </si>
  <si>
    <t>účelové dotace ze SR a SF</t>
  </si>
  <si>
    <t>1/ akce zajišťované Olomouckým krajem</t>
  </si>
  <si>
    <t>2/ akce zajišťované příspěvkovými organizacemi Olomouckého kraje</t>
  </si>
  <si>
    <t>b) Financovano z úvěrového rámce Komerční banky, a.s. ( 700 tis.Kč)</t>
  </si>
  <si>
    <t xml:space="preserve">2. Oblast sociální </t>
  </si>
  <si>
    <t>4. Oblast kultury</t>
  </si>
  <si>
    <t>3. Oblast dopravy</t>
  </si>
  <si>
    <t>b/ akce zajišťované příspěvkovými organizacemi</t>
  </si>
  <si>
    <t>100328</t>
  </si>
  <si>
    <t>100519</t>
  </si>
  <si>
    <t>100523</t>
  </si>
  <si>
    <t>100529</t>
  </si>
  <si>
    <t>100540</t>
  </si>
  <si>
    <t xml:space="preserve">5. Oblast zdravotnictví </t>
  </si>
  <si>
    <t>oblast zdravotnictví - nájemné NOK</t>
  </si>
  <si>
    <t>a) akce zajišťované příslušnými odbory</t>
  </si>
  <si>
    <t>zastupitelé</t>
  </si>
  <si>
    <t>kancelář hejtmana</t>
  </si>
  <si>
    <t>kancelář ředitele</t>
  </si>
  <si>
    <t>odbor informačních technologií</t>
  </si>
  <si>
    <t>odbor strategického rozvoje kraje</t>
  </si>
  <si>
    <t xml:space="preserve"> - projekty financované metodou EPC</t>
  </si>
  <si>
    <t>Investiční výdaje odborů</t>
  </si>
  <si>
    <t xml:space="preserve">  - investiční výdaje odborů</t>
  </si>
  <si>
    <t>a) akce zajišťované odborem investic a evropských programů - účelová dotace z MŽP a SFŽP</t>
  </si>
  <si>
    <t>100628</t>
  </si>
  <si>
    <t>100089</t>
  </si>
  <si>
    <t>b/ akce zajišťované Správou silnic Olomouckého kraje (ORG 1600)</t>
  </si>
  <si>
    <t>odbor zdravotnictví</t>
  </si>
  <si>
    <t xml:space="preserve"> - nákup podílu SMN a.s.</t>
  </si>
  <si>
    <t>a) akce zajišťované odborem majetkovým a právním - účelová dotace z MF ČR</t>
  </si>
  <si>
    <t xml:space="preserve">UZ </t>
  </si>
  <si>
    <t>53190877+52515835</t>
  </si>
  <si>
    <t>UZ</t>
  </si>
  <si>
    <t xml:space="preserve"> - výkup pozemků - dotace MF</t>
  </si>
  <si>
    <t>100324</t>
  </si>
  <si>
    <t>100325</t>
  </si>
  <si>
    <t>100336</t>
  </si>
  <si>
    <t>ORJ 59, UZ0</t>
  </si>
  <si>
    <t>100530</t>
  </si>
  <si>
    <t>ORJ 30</t>
  </si>
  <si>
    <t>100326</t>
  </si>
  <si>
    <t>100331</t>
  </si>
  <si>
    <t>100441</t>
  </si>
  <si>
    <t>100470</t>
  </si>
  <si>
    <t>100695</t>
  </si>
  <si>
    <t>ORJ 17</t>
  </si>
  <si>
    <t>ORJ 17 zaplatilo 40000Kč z POU1011572 z UZ 12 z EIB</t>
  </si>
  <si>
    <t>zůstalo na ORJ 59</t>
  </si>
  <si>
    <t xml:space="preserve"> zůstalo na ORJ 50</t>
  </si>
  <si>
    <t>zapojit od rozpočtu 2012</t>
  </si>
  <si>
    <t>8115 -2012</t>
  </si>
  <si>
    <t>jako RZ 18/12 ze dne 7.2.2012</t>
  </si>
  <si>
    <t>8. Investiční akce Olomouckého kraje 2012</t>
  </si>
  <si>
    <t>Stavební úpravy Střední, Základní a Mateřské školy Prostějov pro potřeby Základní školy a Dětského domova Prostějov v objektu Tetín 5 a 7 Prostějov</t>
  </si>
  <si>
    <t>Střední průmyslová škola strojnická, Olomouc, tř. 17. listopadu 49 - Rekonstrukce osvětlení a elektroinstalace</t>
  </si>
  <si>
    <t>Obchodní akademie a Jazyková škola s právem státní jazykové zkoušky, Přerov, Bartošova 24 -Sprchy a šatny u tělocvičny</t>
  </si>
  <si>
    <t>Střední odborná  škola, Šumperk, Zemědělská 3 - Odstranění vlhkosti</t>
  </si>
  <si>
    <t>Střední průmyslová škola stavební, Lipník nad Bečvou, Komenského sady 257  - Stavební a dispoziční úpravy internátu  školy</t>
  </si>
  <si>
    <t>Střední zdravotnická škola a Vyšší odborná škola zdravotnická Emanuela Pöttinga, Olomouc, Pöttingova 2 - Výměna oken na Domově mládeže a budově školy</t>
  </si>
  <si>
    <t>Střední odborná škola gastronomie a potravinářství, Jeseník, U Jatek 8 - Podlaha v tělocvičně</t>
  </si>
  <si>
    <t>Střední zdravotnická škola a Vyšší odborná škola zdravotnická Emanuela Pöttinga, Olomouc, Pöttingova 2 - WC v budově školy II. etapa</t>
  </si>
  <si>
    <t>Střední zdravotnická škola a Vyšší odborná škola zdravotnická Emanuela Pöttinga, Olomouc, Pöttingova 2 - Balkony a zateplení budovy DM</t>
  </si>
  <si>
    <t>Střední zdravotnická škola a Vyšší odborná škola zdravotnická Emanuela Pöttinga, Olomouc, Pöttingova 2 - Sanace krovu školní budovy</t>
  </si>
  <si>
    <t>Střední průmyslová škola a Obchodní akademie, Uničov, Školní 164 - Školní kuchyň a jídelna</t>
  </si>
  <si>
    <t>Gymnázium Jana Blahoslava a Střední pedagogická škola, Přerov, Denisova 3 - Rekonstrukce plynové kotelny</t>
  </si>
  <si>
    <t>Střední průmyslová škola, Přerov, Havlíčkova 2 - Výměna elektrorozvodů</t>
  </si>
  <si>
    <t>Základní škola a Dětský domov Prostějov - Střecha a krovy ZŠ speciální</t>
  </si>
  <si>
    <t>Střední průmyslová škola elektrotechnická, Mohelnice, Gen. Svobody 2 - Rekonstrukce venkovní kanalizace SPŠE Mohelnice</t>
  </si>
  <si>
    <t>Základní škola a Dětský domov Zábřeh - Oprava kamenné zdi DD Štíty</t>
  </si>
  <si>
    <t>Střední škola, Základní škola a Mateřská škola Šumperk, Hanácká 3 - Sedlová střecha</t>
  </si>
  <si>
    <t>Střední odborná škola gastronomie a potravinářství, Jeseník, U Jatek 8 - Rekonstrukce umýváren nového domova mládeže</t>
  </si>
  <si>
    <t>Slovanské gymnázium, Olomouc, tř. Jiřího z Poděbrad 13 - Modernizace počítačové sítě</t>
  </si>
  <si>
    <t xml:space="preserve">Gymnázium, Šternberk, Horní náměstí 5 - Osvětlení </t>
  </si>
  <si>
    <t>Střední škola, Olomouc - Svatý Kopeček, B. Dvorského 17 - Výměna oken a zateplení pavilonu</t>
  </si>
  <si>
    <t>Gymnázium, Olomouc, Čajkovského 9 - Střecha pavilonu B a F</t>
  </si>
  <si>
    <t xml:space="preserve">Odborné učiliště Křenovice - Zateplení budovy, nová fasáda </t>
  </si>
  <si>
    <t>Střední škola technická, Přerov, Kouřílkova 8 - Vybudování kotelny</t>
  </si>
  <si>
    <t>Střední škola elektrotechnická, Lipník nad Bečvou, Tyršova 781 - Vybudování učeben a střecha</t>
  </si>
  <si>
    <t>SCHOLA SERVIS - zařízení pro další vzdělávání pedagogických pracovníků a středisko služeb školám, Prostějov, příspěvková organizace - Zateplení bočních zdí na ubytovacím zařízení Marie Pujmanové 754, Prostějov-Vrahovice</t>
  </si>
  <si>
    <t>Vyšší odborná škola a Střední průmyslová škola, Šumperk, Gen. Krátkého 1 - Tělovýchovné zařízení školy nám. Jana Zajíce 2, Šumperk</t>
  </si>
  <si>
    <t>Střední škola železniční a stavební, Šumperk, Bulharská 8 - Elektroinstalace na administrativní budově SŠ železniční a stavební Šumperk</t>
  </si>
  <si>
    <t>Střední odborná škola a Střední odborné učiliště, Šumperk,  Gen. Krátkého 30 - Střecha odloučeného pracoviště Uničovská 2, Šumperk</t>
  </si>
  <si>
    <t>Střední škola sociální péče a služeb, Zábřeh, nám. 8. května 2 - Odkup pozemku</t>
  </si>
  <si>
    <t>Gymnázium, Jeseník, Komenského 281 - Kotelna nižššího gymnázia</t>
  </si>
  <si>
    <t>Základní škola Jeseník, Fučíkova 312 - Kotelna</t>
  </si>
  <si>
    <t>Základní škola Jeseník, Fučíkova 312 - Sociální zařízení</t>
  </si>
  <si>
    <t>Střední odborná škola a Střední odborné učiliště zemědělské, Horní Heřmanice 47 - Úpravna a čistírny vod</t>
  </si>
  <si>
    <t>Vyšší odborná škola a Střední průmyslová škola elektrotechnická, Olomouc, Božetěchova 3 - Podlaha výdejny stravy</t>
  </si>
  <si>
    <t>Základní škola, Dětský domov a Školní jídelna, Litovel - Výměna oken na DD Litovel, Husova 651</t>
  </si>
  <si>
    <t>Střední škola polytechnická, Olomouc, Rooseveltova 79 - Výměna oken budovy OV 1</t>
  </si>
  <si>
    <t>Střední odborná škola Litovel, Komenského 677 - Topení a regulace topení</t>
  </si>
  <si>
    <t xml:space="preserve">Střední škola zemědělská, Olomouc, U Hradiska 4 - Výměna elektroinstalace </t>
  </si>
  <si>
    <t>Základní umělecká škola Miloslava Stibora - výtvarný obor, Olomouc, Pionýrská 4 - Nátěr fasády školy a výměna povrchu vstupního prostoru</t>
  </si>
  <si>
    <t xml:space="preserve">Gymnázium, Olomouc - Hejčín, Tomkova 45 - Výměna podlahových krytin v učebnách  </t>
  </si>
  <si>
    <t>Gymnázium, Olomouc, Čajkovského 9 - Střecha nad tělocvičnou</t>
  </si>
  <si>
    <t>Pedagogicko - psychologická poradna Olomouckého kraje, Olomouc, U Sportovní haly 1a - Výměna oken, odloučené pracoviště Husitská 2, Šumperk</t>
  </si>
  <si>
    <t>Střední škola polytechnická, Olomouc, Rooseveltova 79 - Střecha budovy OV 1</t>
  </si>
  <si>
    <t>Střední zdravotnická škola, Hranice - Výměna střešní krytiny</t>
  </si>
  <si>
    <t xml:space="preserve">Střední průmyslová škola stavební, Lipník nad Bečvou, Komenského sady 257 - Sanace krovu školy </t>
  </si>
  <si>
    <t>Střední škola řezbářská, Tovačov, Nádražní 146 - Výměna střešní krytiny u skladu a šatny dívek</t>
  </si>
  <si>
    <t>Gymnázium Jana Blahoslava a Střední pedagogická škola, Přerov, Denisova 3 - Sprchy u tělocvičny a kanalizace</t>
  </si>
  <si>
    <t>Střední lesnická škola, Hranice, Jurikova 588 - Střecha historické budovy školy</t>
  </si>
  <si>
    <t>Švehlova střední škola, Prostějov, nám. Spojenců 17 - Střechy</t>
  </si>
  <si>
    <t>SCHOLA SERVIS - zařízení pro další vzdělávání pedagogických pracovníků a středisko služeb školám, Prostějov, příspěvková organizace - Výměna oken</t>
  </si>
  <si>
    <t>Dětský domov a Školní jídelna, Plumlov, Balkán 333 – Koupelna v DD</t>
  </si>
  <si>
    <t>Gymnázium Jiřího Wolkera Prostějov - Střecha</t>
  </si>
  <si>
    <t>Střední škola technická, Mohelnice, 1.máje2 - Výměna střešní krytiny na budově školy</t>
  </si>
  <si>
    <t>Střední  odborná  škola, Šumperk, Zemědělská 3 - Výměna kotelny na budově školy</t>
  </si>
  <si>
    <t>Gymnázium, Zábřeh, náměstí osvobození 20 - Statika části přístavby kuchyně Gymnázia Zábřeh</t>
  </si>
  <si>
    <t>Střední odborné učiliště zemědělské, Loštice, Palackého 338 - Výměna střešní krytiny - dílny OV v Žádlovicích</t>
  </si>
  <si>
    <t>Střední škola sociální péče a služeb, Zábřeh, nám. 8. května 2 - Výměna krytiny střechy budovy školy na Bezručově ul.</t>
  </si>
  <si>
    <t>Základní škola Jeseník, Fučíkova 312 - Vymálování celé školy Vlčice 3</t>
  </si>
  <si>
    <t>Hotelová škola Vincenze Priessnitze, Jeseník, Dukelská 680 - Výměna oken</t>
  </si>
  <si>
    <t>60001100583</t>
  </si>
  <si>
    <t>60001100586</t>
  </si>
  <si>
    <t>60001100587</t>
  </si>
  <si>
    <t>60001100588</t>
  </si>
  <si>
    <t>60001100601</t>
  </si>
  <si>
    <t>60001100608</t>
  </si>
  <si>
    <t>60001100613</t>
  </si>
  <si>
    <t>60001100621</t>
  </si>
  <si>
    <t>60001100624</t>
  </si>
  <si>
    <t>60001100689</t>
  </si>
  <si>
    <t>Střední zdravotnická škola a Vyšší odborná škola zdravotnická Emanuela Pöttinga, Olomouc, Pöttingova 2 - Rekonstrukce sociálního zařízení v budově DM</t>
  </si>
  <si>
    <t>Domov důchodců Štíty - Připojení zemního plynu</t>
  </si>
  <si>
    <t>Domov důchodců Jesenec - Půdní vestavba</t>
  </si>
  <si>
    <t>Domov důchodců Štíty - Rekonstrukce a modernizace plynové kotelny</t>
  </si>
  <si>
    <t>Domov důchodců Hrubá Voda - Přístavba lůžkového výtahu v budově žen</t>
  </si>
  <si>
    <t>Domov pro seniory Tovačov - Střecha a půdní vestavba</t>
  </si>
  <si>
    <t>Domov důchodců Šumperk - Rekonstrukce kuchyně</t>
  </si>
  <si>
    <t>Penzion pro důchodce Loštice - Rekonstrukce bytových jader (sociální zařízení, kuchyňky)</t>
  </si>
  <si>
    <t>Nové Zámky - poskytovatel sociálních služeb  - komunikace a zpevněné plochy</t>
  </si>
  <si>
    <t>Nové Zámky - poskytovatel sociálních služeb - drobná architektura, inž. Sítě</t>
  </si>
  <si>
    <t>Domov důchodců Štíty - Výměna střechy</t>
  </si>
  <si>
    <t>Penzion pro důchodce Loštice - Rekonstrukce a modernizace vytápění</t>
  </si>
  <si>
    <t>Domov důchodců Jesenec - Rekonstrukce budov</t>
  </si>
  <si>
    <t>Domov důchodců Kobylá nad Vidnávkou - Oprava podlah a vnitřního schodiště</t>
  </si>
  <si>
    <t>Domov Sněženka Jeseník - Odvlhčení zdiva suterén budovy- II.etapa</t>
  </si>
  <si>
    <t>Domov Sněženka Jeseník - Oprava chodbové dlažby</t>
  </si>
  <si>
    <t>Domov důchodců Hrubá Voda - Oprava elektroinstalace</t>
  </si>
  <si>
    <t xml:space="preserve">Sociální služby Prostějov - Výměna oken </t>
  </si>
  <si>
    <t>Domov pro seniory Tovačov - Oprava střechy a výměna oken</t>
  </si>
  <si>
    <t>60002100352</t>
  </si>
  <si>
    <t>60002100474</t>
  </si>
  <si>
    <t xml:space="preserve">Nové Zámky - poskytovatel sociálních služeb - Úprava vnitřních prostor budovy zámku včetně vybavení </t>
  </si>
  <si>
    <t>Penzion pro důchodce Loštice – Sanace zdiva</t>
  </si>
  <si>
    <t>Domov pro seniory POHODA Chválkovice - vnitroareálové komunikace pro pěší</t>
  </si>
  <si>
    <t xml:space="preserve">Domov pro seniory Javorník - Elektrické sprchové křeslo  </t>
  </si>
  <si>
    <t>Domov důchodců Kobylá nad Vidnavkou - Osobní automobil</t>
  </si>
  <si>
    <t>Domov Sněženka Jeseník - 2 ks sušiče prádla</t>
  </si>
  <si>
    <t>Domov Sněženka Jeseník - 2 ks kuchyňský plynový sporák</t>
  </si>
  <si>
    <t>Domov Sněženka Jeseník - Mixer</t>
  </si>
  <si>
    <t>Domov Sněženka Jeseník - Elektrický zvedák</t>
  </si>
  <si>
    <t>Domov Sněženka Jeseník - Elektrická zvedací vana</t>
  </si>
  <si>
    <t>Domov důchodců Červenka - Nákup osobního automobilu</t>
  </si>
  <si>
    <t>Domov důchodců Červenka - Nákup sedací vany</t>
  </si>
  <si>
    <t>Domov důchodců Červenka - Desinfikátor podložních mís</t>
  </si>
  <si>
    <t>Domov seniorů FRANTIŠEK Náměšť na Hané - Nákup konvektomatu v rámci modernizace zařízení kuchyně</t>
  </si>
  <si>
    <t>Domov důchodců Hrubá Voda - Konvektomat</t>
  </si>
  <si>
    <t>Domov důchodců Hrubá Voda - Automobil</t>
  </si>
  <si>
    <t>Domov seniorů POHODA Chválkovice - Rehabilitační přístroj</t>
  </si>
  <si>
    <t>Domov seniorů POHODA Chválkovice - Malotraktor</t>
  </si>
  <si>
    <t>Domov seniorů POHODA Chválkovice - 1 X zvedák pro objemné klienty</t>
  </si>
  <si>
    <t>Domov seniorů POHODA Chválkovice - 4 X zvedák</t>
  </si>
  <si>
    <t xml:space="preserve">Domov seniorů POHODA Chválkovice - 2 X Automobil  Transit prodloužená verze </t>
  </si>
  <si>
    <t>Sociální služby pro seniory Olomouc - Šikmá schodišťová sedačka - modul 260 STANNAH</t>
  </si>
  <si>
    <t>Sociální služby pro seniory Olomouc - Kuchyňská linka s vestavěnými spotřebiči v bytech  CHB</t>
  </si>
  <si>
    <t>Nové zámky - poskytovatel sociálních služeb - 2 x zvedák pro imobilní osoby</t>
  </si>
  <si>
    <t>Nové zámky - poskytovatel sociálních služeb - 5 x myčka a dezinfikátor podložních mís</t>
  </si>
  <si>
    <t>Domov důchodců Šumperk - Myčky podložních mís</t>
  </si>
  <si>
    <t>Domov důchodců Šumperk - Konvektomat</t>
  </si>
  <si>
    <t>Domov důchodců Šumperk - Koupací lůžko pro imobilní uživatele</t>
  </si>
  <si>
    <t>Domov důchodců Šumperk - Transportní plošina pro vozíčkáře pro vstup do zahrady DD</t>
  </si>
  <si>
    <t>Domov důchodců Šumperk - Malotraktor - systém VARI</t>
  </si>
  <si>
    <t>Domov důchodců Šumperk - Vozíky včetně jídelních tabletů (60 ks)</t>
  </si>
  <si>
    <t>Domov důchodců Šumperk - Náhrada interního rozhlasového a varovného vysílání</t>
  </si>
  <si>
    <t>Domov důchodců Libina - Konvektomat</t>
  </si>
  <si>
    <t>Domov Paprsek Olšany - Stropní zvedák</t>
  </si>
  <si>
    <t>Domov Paprsek Olšany - Konvektomat</t>
  </si>
  <si>
    <t>Domov Paprsek Olšany - Myčka malá</t>
  </si>
  <si>
    <t>Domov Paprsek Olšany - Zvedací vana</t>
  </si>
  <si>
    <t>Domov důchodců Prostějov - Chladící stavebnicový box (3,1x2,3x2,2m) včetně přísl.</t>
  </si>
  <si>
    <t>Domov důchodců Prostějov - Bubnový elektrický sušič - Electrolux - T5550</t>
  </si>
  <si>
    <t>Domov důchodců Jesenec - Smažící pánev do kuchyně</t>
  </si>
  <si>
    <t>Domov "Na Zámku" Nezamyslice - Elektrické zdvihací zařízení "CURATOR"</t>
  </si>
  <si>
    <t>Domov "Na Zámku" Nezamyslice - Pořízení osobního automobilu</t>
  </si>
  <si>
    <t xml:space="preserve">Domov "Na Zámku" Nezamyslice - Vysokootáčková pračka do prádelny </t>
  </si>
  <si>
    <t>Sociální služby Prostějov - Obnova vozového parku</t>
  </si>
  <si>
    <t>Centrum sociálních služeb Prostějov - Konvektomat B 122 1b</t>
  </si>
  <si>
    <t>Domov pro seniory Radkova Lhota - Lis na prádlo</t>
  </si>
  <si>
    <t>Domov pro seniory Radkova Lhota - 2 stropní zvedací systémy</t>
  </si>
  <si>
    <t>Domov pro seniory Radkova Lhota - Vlečka za malotraktor</t>
  </si>
  <si>
    <t>Domov pro seniory Tovačov - Konvektomat elektrický 10 G</t>
  </si>
  <si>
    <t xml:space="preserve">Domov pro seniory Tovačov - Multifunkční  pánev FRIMA 100 l </t>
  </si>
  <si>
    <t>Domov větrný mlýn Skalička - Myčka na nádobí</t>
  </si>
  <si>
    <t>Domov větrný mlýn Skalička - Sekačka</t>
  </si>
  <si>
    <t>Centrum Dominika Kokory - Pračka</t>
  </si>
  <si>
    <t>Domov ADAM Dřevohostice - Kuchyňský plynový kotel</t>
  </si>
  <si>
    <t xml:space="preserve">Domov ADAM Dřevohostice - Ohřívač TUV </t>
  </si>
  <si>
    <t>Domov ADAM Dřevohostice - Pračka</t>
  </si>
  <si>
    <t>Domov Na zámečku Rokytnice - Nákup minibusu s úpravou pro převoz vozíčkářů</t>
  </si>
  <si>
    <t>Domov Na zámečku Rokytnice - Nákup elektrického kotle do stravovacího provozu</t>
  </si>
  <si>
    <t>Domov Na zámečku Rokytnice - Nákup zvedacího zařízení pro imobilní klienty</t>
  </si>
  <si>
    <t>Domov Na zámečku Rokytnice - Nákup průmyslové pračky</t>
  </si>
  <si>
    <t xml:space="preserve">Sociální služby pro seniory Olomouc - Elektrická pec 3 nad sebou  -  2 kusy </t>
  </si>
  <si>
    <t xml:space="preserve">Sociální služby pro seniory Olomouc - Varný kotel elektrický 150 litrů s automatickým dopouštěním vody  -  2 kusy </t>
  </si>
  <si>
    <t>Brodek u Prostějova - okružní křižovatka</t>
  </si>
  <si>
    <t>Bernartice - Buková - opěrné zdi</t>
  </si>
  <si>
    <t>Mohelnice - křížení s železniční tratí</t>
  </si>
  <si>
    <t>Šumperk - okružní křižovatka</t>
  </si>
  <si>
    <t>Stavební úpravy křižovatky u žel. přejezdu na ul. Olomoucká, Prostějov</t>
  </si>
  <si>
    <t>SSOK - 2 ks sypačů včetně pluhů a nástaveb</t>
  </si>
  <si>
    <t>Prostějov - přeložka silnice II/366 od Tesca</t>
  </si>
  <si>
    <t>II. a III. třídy Protihluková opatření</t>
  </si>
  <si>
    <t>II/315 a III/31527 Zábřeh na Moravě - okružní křižovatka ul. Postřelmovská, Čsl. Armády</t>
  </si>
  <si>
    <t>oblast doprava</t>
  </si>
  <si>
    <t>d) Financováno z účelové dotace poskytnuté ze státního rozpočtu</t>
  </si>
  <si>
    <t xml:space="preserve">Realizace energeticky úsporných opatření - SPŠ a OA Uničov  </t>
  </si>
  <si>
    <t>Realizace energeticky úsporných opatření - ZŠ a DD Zábřeh</t>
  </si>
  <si>
    <t>Realizace energeticky úsporných opatření - SŠ technická Přerov</t>
  </si>
  <si>
    <t xml:space="preserve">výkup pozemků </t>
  </si>
  <si>
    <t>8. Přehled financování investičních akcí v roce 2012</t>
  </si>
  <si>
    <t xml:space="preserve">c) Financováno z rozpočtu Olomouckého kraje </t>
  </si>
  <si>
    <t>Vlastivědné muzeum Jesenicka - Stálá expozice čarodějnických procesů</t>
  </si>
  <si>
    <t>Vlastivědné muzeum Jesenicka - Expozice geologie</t>
  </si>
  <si>
    <t>Vlastivědné muzeum v Olomouci - Elektroinstalace</t>
  </si>
  <si>
    <t>Vlastivědné muzeum v Olomouci - Tvorba stálých expozic</t>
  </si>
  <si>
    <t>Vlastivědné muzeum v Olomouci - Interiér nového vstupu hlavní budovy</t>
  </si>
  <si>
    <t>Vlastivědné muzeum v Olomouci - Úprava vnitřních nádvoří  včetně parkánů</t>
  </si>
  <si>
    <t>Muzeum Komenského v Přerově - Zastřešení paláce na hradě Helfštýn</t>
  </si>
  <si>
    <t>Muzeum Komenského v Přerově - Mosty na hradě Helfštýn</t>
  </si>
  <si>
    <t>Čechy pod Kosířem - Rekonstrukce a využití objektů a revitalizace parku, 2. etapa</t>
  </si>
  <si>
    <t>Vlastivědné muzeum v Olomouci - Expozice etnografie a osobností kraje</t>
  </si>
  <si>
    <t>Vlastivědné muzeum v Olomouci - Fasáda bývalého letního refektáře</t>
  </si>
  <si>
    <t>Vlastivědné muzeum v  Šumperku - Expozice archeologie v Mohelnickém muzeu</t>
  </si>
  <si>
    <t>Vlastivědné muzeum v Olomouci - Vybudování expozice</t>
  </si>
  <si>
    <t>Vlastivědné muzeum v Olomouci - Informační systém muzea</t>
  </si>
  <si>
    <t>Muzeum Prostějovska v Prostějově - Stálá historická a archeologická expozice</t>
  </si>
  <si>
    <t>Vlastivědné muzeum v Olomouci - Vybudování expozice Lapidária</t>
  </si>
  <si>
    <t>Vlastivědné muzeum v Olomouci - Vybudování šatny pro návštěvníky</t>
  </si>
  <si>
    <t>Vlastivědné muzeum v Olomouci - Restaurování renesančních reliéfů</t>
  </si>
  <si>
    <t>Vlastivědné muzeum Jesenicka - inženýrské sítě a fasáda</t>
  </si>
  <si>
    <t>Vědecká knihovna v Olomouci - Server pro provoz knihovního systému Aleph</t>
  </si>
  <si>
    <t>Vědecká knihovna v Olomouci - Telefonní ústředna</t>
  </si>
  <si>
    <t>Muzeum Prostějovska v Prostějově - Hardware a software pro úložiště a zálohu dat</t>
  </si>
  <si>
    <t>Muzeum Komenského v Přerově - Pořízení knihovního systému pro knihovny Muzea Komenského v Přerově</t>
  </si>
  <si>
    <t>Vlastivědné muzeum v Olomouci - Nákup osobního motorového vozidla</t>
  </si>
  <si>
    <t>Vlastivědné muzeum Jesenicka - Nákladní přívěs</t>
  </si>
  <si>
    <t>Vlastivědné muzeum Jesenicka - Výstavní inventář</t>
  </si>
  <si>
    <t>Vlastivědné muzeum Jesenicka - Počítačová sestava</t>
  </si>
  <si>
    <t>Muzeum Komenského v Přerově - Užitkové vozidlo</t>
  </si>
  <si>
    <t>Muzeum Komenského v Přerově - Fotoaparát s příslušenstvím</t>
  </si>
  <si>
    <t>Muzeum Komenského v Přerově - Sušárna s přirozenou regulací vzduchu</t>
  </si>
  <si>
    <t>Muzeum Komenského v Přerově - Pořízení bezpečnostní vitríny pro vystavování exkluzivních sbírkových předmětů</t>
  </si>
  <si>
    <t>Odborný léčebný ústav neurologicko-geriatrický Moravský Beroun - Vybudování plynových kotelen pro výrobu tepla a TUV</t>
  </si>
  <si>
    <t>Zdravotnická záchranná služba OK - Rekonstrukce a dostavba provozního zázemí LZZS OK hangáru heliport Olomouc</t>
  </si>
  <si>
    <t>Odborný léčebný ústav neurologicko-geriatrický Moravský Beroun - Odkoupení pozemků a budovy prádelny v areálu OLU Moravský Beroun</t>
  </si>
  <si>
    <t>Odborný léčebný ústav Paseka, přísp. org. - Analyzátor moči</t>
  </si>
  <si>
    <t>Odborný léčebný ústav Paseka, přísp. org. - Polohovací postele s later.náklonem</t>
  </si>
  <si>
    <t>Odborný léčebný ústav neurologicko-geriatrický Moravský Beroun, přísp. org. - Pořízení 2 ks rehabilitačních van</t>
  </si>
  <si>
    <t>Odborný léčebný ústav neurologicko-geriatrický Moravský Beroun, přísp. org. - Resuscitační vozík</t>
  </si>
  <si>
    <t>Odborný léčebný ústav neurologicko-geriatrický Moravský Beroun, přísp. org. - Centrifuga pro biochemickou laboratoř</t>
  </si>
  <si>
    <t>Odborný léčebný ústav neurologicko-geriatrický Moravský Beroun, přísp. org. - Nákup lůžek a vybavení pro pacienty s nadměrnou hmotností</t>
  </si>
  <si>
    <t>Odborný léčebný ústav neurologicko-geriatrický Moravský Beroun, přísp. org. - Obnova serveru a prvků počítačové sítě</t>
  </si>
  <si>
    <t>Zdravotnická záchranná služba OK, přísp. org. - Sanitní vozidla 3 ks</t>
  </si>
  <si>
    <t>60005001700</t>
  </si>
  <si>
    <t>60005001701</t>
  </si>
  <si>
    <t>c) akce zajišťované odborem majetkovým a právním</t>
  </si>
  <si>
    <t xml:space="preserve">Odborný léčebný ústav neurologicko-geriatrický Moravský Beroun - Odkoupení pozemků </t>
  </si>
  <si>
    <t xml:space="preserve">Odborný léčebný ústav neurologicko-geriatrický Moravský Beroun - Odkoupení budovy prádelny </t>
  </si>
  <si>
    <t>6. Oblast ostatní investice</t>
  </si>
  <si>
    <t>a) akce zajišťované Kanceláří hejtmana</t>
  </si>
  <si>
    <t>Vybudování rezervačního systému</t>
  </si>
  <si>
    <t>Digitalizace Olomouc region Card</t>
  </si>
  <si>
    <t>b) akce zajišťované Kanceláří ředitele</t>
  </si>
  <si>
    <t>c) akce zajišťované odborem informačních technologií</t>
  </si>
  <si>
    <t>oblast Krajský úřad a zastupitelé</t>
  </si>
  <si>
    <t>Programové vybavení</t>
  </si>
  <si>
    <t>Výpočetní technika</t>
  </si>
  <si>
    <t>60013, 6111</t>
  </si>
  <si>
    <t>60013, 6125</t>
  </si>
  <si>
    <t>Nová úřední deska</t>
  </si>
  <si>
    <t>Řízení klimatizace</t>
  </si>
  <si>
    <t>Dataprojektor (3 ks)</t>
  </si>
  <si>
    <t>Nákup osobních vozidel</t>
  </si>
  <si>
    <t xml:space="preserve"> - oblast ostatní investice</t>
  </si>
  <si>
    <t xml:space="preserve">Oblast ostatní investice celkem </t>
  </si>
  <si>
    <t>Střední odborná škola a Střední odborné učiliště, Uničov, Moravské nám. 681 -Dílny pro praktickou výuku</t>
  </si>
  <si>
    <t xml:space="preserve">Gymnázium, Olomouc, Čajkovského 9 - Výstavba tělocvičny a sportovní víceúčelové hřiště </t>
  </si>
  <si>
    <t>Dostavba budovy Slovanského gymnázia Olomouc</t>
  </si>
  <si>
    <t>Nový pavilon areálu Domov pro seniory Radkova Lhota</t>
  </si>
  <si>
    <t>Nové Zámky - poskytovatel sociálních služeb - Rekonstr. objektu Litovel</t>
  </si>
  <si>
    <t>Nový pavilon areálu Domov seniorů Pohoda Chválkovice</t>
  </si>
  <si>
    <t>Domov seniorů POHODA Chválkovice - Stravovací provoz</t>
  </si>
  <si>
    <t xml:space="preserve">Domov Větrný mlýn Skalička - přístavba lůžkového pavilonu </t>
  </si>
  <si>
    <t>Zámek Čechy pod Kosířem - rekonstrukce a využití objektů a revitalizace parku</t>
  </si>
  <si>
    <t xml:space="preserve">II/447, II/446, III/44621 Pňovice - průtah </t>
  </si>
  <si>
    <t>Velký Týnec - průtah, dokončení I. Etapy</t>
  </si>
  <si>
    <t xml:space="preserve">OLÚ neurologicko-geriatrický Moravský Beroun - rekonstrukce a dostavba oddělení rehabilitace </t>
  </si>
  <si>
    <t>Čechy - Domaželice - obchvat</t>
  </si>
  <si>
    <t>Velký Týnec - průtah, II. Etapa</t>
  </si>
  <si>
    <t>Dub - Tovačov, stavební úpravy (křiž. s II/150 po křiž. do Tovačova II/433)</t>
  </si>
  <si>
    <t>Silnice III/4469 Bohuňovice - průtah</t>
  </si>
  <si>
    <t>Bedihošť - průtah, I. a II. Etapa</t>
  </si>
  <si>
    <t>II/448, II/446 Olomouc, Dobrovského - okruž.křižovatka</t>
  </si>
  <si>
    <t>II/366 Kostelec na Hané - průtah (IV. Etapa)</t>
  </si>
  <si>
    <t>Strojní vybavení dílen pro praktickou výuku (SOŠ a SOU Uničov)</t>
  </si>
  <si>
    <t>Revitalizace území areálu staré nemocnice v Prostějově II.etapa</t>
  </si>
  <si>
    <t xml:space="preserve">SMN a.s. - o.z. Nemocnice Přerov - modernizace pavilonu interních oborů - I. etapa </t>
  </si>
  <si>
    <t>SMN a.s. - o.z. Nemocnice Přerov - modernizace pavilonu operačních oborů - I. Etapa</t>
  </si>
  <si>
    <t>7. Oblast informačních technologií</t>
  </si>
  <si>
    <t>oblast informačních technologií</t>
  </si>
  <si>
    <t>Rozvoj služeb eGovernmentu</t>
  </si>
  <si>
    <t>Krajské operační a informační středisko (KOPIS)</t>
  </si>
  <si>
    <t>PO</t>
  </si>
  <si>
    <t>Gymnázium J.Wolkera, Kollárova 3, Prostějov - Realizace energeticky úsporných zařízení</t>
  </si>
  <si>
    <t>SOŠ a SOU strojírenské a stavební, Dukelská 1240, Jeseník - Realizace energeticky úsporných zařízení</t>
  </si>
  <si>
    <t>Obchodní akademie, Olomoucká 82, Mohelnice- Realizace energeticky úsporných zařízení</t>
  </si>
  <si>
    <t>SOU obchodní, nám E. Husserla 1, Prostějov - Realizace energeticky úsporných zařízení</t>
  </si>
  <si>
    <t xml:space="preserve"> - oblast informačních technologií</t>
  </si>
  <si>
    <t xml:space="preserve">Oblast informačních technologií celkem </t>
  </si>
  <si>
    <t>Vzdělávací centrum pro slabozraké Olomouc - Hejčín -výstavba nového zařízení</t>
  </si>
  <si>
    <t>ZŠ a DD Zábřeh, Sušilova 40 - Oprava střech</t>
  </si>
  <si>
    <t>VOŠ a SPŠ elektrotechnická Olomouc - školní tělocvična</t>
  </si>
  <si>
    <t>Integrace handicapovaných dětí do vytipovaných škol a školských zařízení v Olomouckém kraji</t>
  </si>
  <si>
    <t>Energeticky úsporná opatření - Obchodní akademie Mohelnice</t>
  </si>
  <si>
    <t>Energeticky úsporná opatření - SŠ polygrafická Olomouc</t>
  </si>
  <si>
    <t>Realizace energeticky úsporných opatření - SOŠ a SOU Jeseník</t>
  </si>
  <si>
    <t>Realizace energeticky úsporných opatření - SPŠ strojnická Olomouc</t>
  </si>
  <si>
    <t>Realizace energeticky úsporných opatření - VOŠ a SŠ automobilní Zábřeh</t>
  </si>
  <si>
    <t>Realizace energeticky úsporných opatření - SŠ zemědělská Olomouc domov mládeže</t>
  </si>
  <si>
    <t>Realizace energeticky úsporných opatření - ZŠ a MŠ logopedická Olomouc</t>
  </si>
  <si>
    <t>Centrum vzdělávání na SPŠ strojnické Olomouc</t>
  </si>
  <si>
    <t>Rekonstrukce dílen Střední školy železniční a stavební, Šumperk, Bulharská 8</t>
  </si>
  <si>
    <t>Energetická úsporná opatření - Gymnázium Šumperk</t>
  </si>
  <si>
    <t>Realizace energeticky úsporných opatření - Obchodní akademie Přerov</t>
  </si>
  <si>
    <t>Realizace energeticky úsporných opatření - Gymnázium Jeseník</t>
  </si>
  <si>
    <t>Realizace energeticky úsporných opatření - SŠ zemědělská Přerov</t>
  </si>
  <si>
    <t>Realizace energeticky úsporných opatření - VOŠ a SPŠE - Olomouc</t>
  </si>
  <si>
    <t>Realizace energeticky úsporných opatření - Gymnázium,Olomouc, Čajkovského 9</t>
  </si>
  <si>
    <t>Realizace energeticky úsporných opatření - SŠ Švehlova Prostějov</t>
  </si>
  <si>
    <t>Realizace energeticky úsporných opatření - SŠ designu a módy Prostějov - domov mládeže Palečkova</t>
  </si>
  <si>
    <t>Realizace energeticky úsporných opatření - SŠ zemědělská Olomouc budova školy</t>
  </si>
  <si>
    <t>Realizace energeticky úsporných opatření - VOŠ a SŠ automobilní Zábřeh - domov mládeže</t>
  </si>
  <si>
    <t>Realizace energeticky úsporných opatření - Gymnázium Jeseník - budova nižšího gymnázia</t>
  </si>
  <si>
    <t>Realizace energeticky úsporných opatření - Sigmundova střední škola strojírenská, Lutín - budova školy</t>
  </si>
  <si>
    <t>Realizace energeticky úsporných opatření - Sigmundova střední škola strojírenská, Lutín - domov mládeže</t>
  </si>
  <si>
    <t>Realizace energeticky úsporných opatření - Gymnázium Uničov</t>
  </si>
  <si>
    <t>Realizace energeticky úsporných opatření - VOŠ a SPŠ Šumperk - budova školy</t>
  </si>
  <si>
    <t>Realizace energeticky úsporných opatření - VOŠ a SPŠ Šumperk - domov mládeže</t>
  </si>
  <si>
    <t>Realizace energeticky úsporných opatření - VOŠ a SPŠ Šumperk - tělocvična</t>
  </si>
  <si>
    <t>Realizace energeticky úsporných opatření - SOŠ Šumperk - domov mládeže</t>
  </si>
  <si>
    <t>Podpora technického vybavení dílen - 1. část</t>
  </si>
  <si>
    <t>Podpora technického vybavení dílen - 2. část</t>
  </si>
  <si>
    <t>Technické vybavení dílen Střední škola polygrafická Olomouc</t>
  </si>
  <si>
    <t>Podpora technického vybavení dílen - 3. část</t>
  </si>
  <si>
    <t>Sigmundova střední škola strojírenská, Lutín - odkup nemovitosti</t>
  </si>
  <si>
    <t>ORJ 10</t>
  </si>
  <si>
    <t>ORJ 04</t>
  </si>
  <si>
    <t>ORJ 59</t>
  </si>
  <si>
    <t>Nový pavilon areálu Domov seniorů Pohoda, Olomouc - Chválkovice</t>
  </si>
  <si>
    <t>100407</t>
  </si>
  <si>
    <t>100409</t>
  </si>
  <si>
    <t xml:space="preserve">Domov Sněženka Jeseník - nátěry a venkovní  terasy </t>
  </si>
  <si>
    <t>Domov Na zámečku Rokytnice - Půdní vestavba</t>
  </si>
  <si>
    <t>Nové Zámky - poskytovatel soc. služeb - Výměna oken a rekonstrukce venkovního omítkového pláště</t>
  </si>
  <si>
    <t>Domov seniorů POHODA Chválkovice - Modernizace hlavní budovy, část A</t>
  </si>
  <si>
    <t>Nové Zámky - poskytovatel sociálních služeb - Rekonstrukce objektu Litovel</t>
  </si>
  <si>
    <t>100814</t>
  </si>
  <si>
    <t>Transformace Vincentina Šternberk - II. Etapa</t>
  </si>
  <si>
    <t>Rekonstrukce zahrady v Domově důchodců Červenka</t>
  </si>
  <si>
    <t>Revitalizace zámeckého parku s přilehlými plochami v Nových Zámcích</t>
  </si>
  <si>
    <t>Domov Větrný mlýn Skalička - revitalizace zámeckého parku</t>
  </si>
  <si>
    <t>Domov Na zámečku Rokytnice - rekonstrukce zámeckého parku a jeho zpřístupnění veřejnosti</t>
  </si>
  <si>
    <t>100494</t>
  </si>
  <si>
    <t>100496</t>
  </si>
  <si>
    <t>100497</t>
  </si>
  <si>
    <t>100518</t>
  </si>
  <si>
    <t>100550</t>
  </si>
  <si>
    <t>100686</t>
  </si>
  <si>
    <t>100790</t>
  </si>
  <si>
    <t>100796</t>
  </si>
  <si>
    <t>Centrum sociálních služeb Prostějov - rekonstrukce pavilonu - zřízení residenčního zařízení pro chronicky nemocné Alzeheimerovou chorobou</t>
  </si>
  <si>
    <t>Realizace energeticky úsporných opatření - Sociální služby pro seniory Olomouc - ubytovací část</t>
  </si>
  <si>
    <t>Realizace energeticky úsporných opatření - Středisko sociální prevence Olomouc, budova Žilinská</t>
  </si>
  <si>
    <t>Realizace energeticky úsporných opatření - Domov důchodců Šumperk</t>
  </si>
  <si>
    <t>Realizace energeticky úsporných opatření - Domov důchodců Hrubá Voda - budova žen</t>
  </si>
  <si>
    <t>Domov Sněženka Jeseník - Rekonstrukce soc. zařízení a vodoléčby</t>
  </si>
  <si>
    <t>Realizace energeticky úsporných opatření - Penzion pro důchodce Loštice</t>
  </si>
  <si>
    <t>Realizace energeticky úsporných opatření - Domov seniorů POHODA Chválkovice - pavilony A a B</t>
  </si>
  <si>
    <t>Dobrovolnické možnosti podpory seniorů a sociálně vyloučených občanů EU</t>
  </si>
  <si>
    <t>Centrum sociálních služeb Prostějov - rekonstrukce budovy 6F - zřízení odlehčovací služby a denního stacionáře</t>
  </si>
  <si>
    <t>Vybrané služby sociální prevence v Olomouckém kraji</t>
  </si>
  <si>
    <t>Čechy-Domaželice - obchvat</t>
  </si>
  <si>
    <t>Kozlovice - obchvat</t>
  </si>
  <si>
    <t>II/570 Hněvotín - rekonstrukce silnice</t>
  </si>
  <si>
    <t>Vypořádání staveb po jejich dokončení z minulých let - výkupy pozemků a jiné</t>
  </si>
  <si>
    <t>III/44311 Dolany - průtah, II. etapa</t>
  </si>
  <si>
    <t>III/44317 Velká Bystřice – okružní křižovatka</t>
  </si>
  <si>
    <t>Bedihošť - průtah, I. a II. etapa</t>
  </si>
  <si>
    <t>II/315 a III/31527 Zábřeh na Moravě - okružní křižovatka ul. Postřelmovská, Čsl. armády</t>
  </si>
  <si>
    <t xml:space="preserve"> - UZ 886</t>
  </si>
  <si>
    <t>III/37356 Brodek u Konice</t>
  </si>
  <si>
    <t>II/457 Velké Kunětice - Mikulovice</t>
  </si>
  <si>
    <t>III/44016 Olšovec - Střítež</t>
  </si>
  <si>
    <t>III/3696 Loučná - Přemyslov</t>
  </si>
  <si>
    <t>III/43327 most ev.č. 43327-3 Popůvky</t>
  </si>
  <si>
    <t>Čechy pod Kosířem, využití areálu zámku a parku</t>
  </si>
  <si>
    <t>Olomouký kraj - Opolské vojvodství: Otevřené sousedství</t>
  </si>
  <si>
    <t>Čechy pod Kosířem, revitalizace parku</t>
  </si>
  <si>
    <t>Vlastivědné muzeum Jesenicka - Rekonstrukce budovy</t>
  </si>
  <si>
    <t>Muzeum Prostějovska v Prostějově – sanace vlhkého zdiva depozitáře</t>
  </si>
  <si>
    <t>Muzeum Komenského v Přerově - Osvětlení na hradě Helfštýn</t>
  </si>
  <si>
    <t>Vlastivědné muzeum v Olomouci - Arboretum Bílá Lhota - zázemí a zemědělské muzeum</t>
  </si>
  <si>
    <t>Odborný léčebný ústav neurologicko-geriatrický Moravský Beroun, přísp. org. - Úprava oddělení III, pavilon 2 pro oddělení DIOP</t>
  </si>
  <si>
    <t>OLÚ neurologicko-geriatrický Moravský Beroun - úpravy ploch kolem pavilonu 2</t>
  </si>
  <si>
    <t>OLÚ neurologicko-geriatrický Moravský Beroun - výtah do zadního schodiště pavilonu 2</t>
  </si>
  <si>
    <t xml:space="preserve">OLÚ neurologicko-geriatrický Moravský Beroun - vybudování půdní vestavby pavilonu 2 </t>
  </si>
  <si>
    <t xml:space="preserve">OLÚ neurologicko-geriatrický Moravský Beroun - Modernizace lůžkového fondu </t>
  </si>
  <si>
    <t>Realizace energeticky úsporných opatření - Nemocnice Přerov - chirurgie</t>
  </si>
  <si>
    <t>Realizace energeticky úsporných opatření - SMN a.s. - o.z. Nemocnice Přerov-pavilon interních oborů</t>
  </si>
  <si>
    <t>Realizace energeticky úsporných opatření - SMN a.s. - o.z. Nemocnice Přerov - LDN</t>
  </si>
  <si>
    <t>Realizace energeticky úsporných opatření - SMN a.s. - o.z. Nemocnice Šternberk -pavilon pro dlouhodobě nemocné</t>
  </si>
  <si>
    <t>SMN a.s. - o.z. Nemocnice Přerov - modernizace pavilonu operačních oborů - I. etapa</t>
  </si>
  <si>
    <t>SMN a.s. - o.z.Nemocnice Prostějov - Rekonstrukce oddělení ORL</t>
  </si>
  <si>
    <t>SMN.a.s. - o.z.Nemocnice Přerov - Stavební úpravy přípravny radiofarmak na oddělení ONM</t>
  </si>
  <si>
    <t>SMN a.s. - o.z.Nemocnice Přerov - Rekonstrukce oddělení urologie</t>
  </si>
  <si>
    <t>SMN a.s. - o.z. Nemocnice Přerov - zřízení jednotky dlouhodobé intenzivní péče</t>
  </si>
  <si>
    <t>SMN a.s. - o.z. Nemocnice Prostějov - Rekonstrukce oddělení dialýzy a stavební úpravy urgentního příjmu</t>
  </si>
  <si>
    <t>SMN a.s. - o.z. Nemocnice Šternberk - Rekonstrukce porodnice</t>
  </si>
  <si>
    <t>SMN a.s. – o.z. Nemocnice Šternberk – Rekonstrukce pavilonu interny</t>
  </si>
  <si>
    <t>53190001+53515319</t>
  </si>
  <si>
    <t>36113899+36513899</t>
  </si>
  <si>
    <t>KIDSOK - 2 ks osobní auto</t>
  </si>
  <si>
    <t>KIDSOK - tiskárna, plotr, server</t>
  </si>
  <si>
    <t>UZ 12</t>
  </si>
  <si>
    <t>UZ 24</t>
  </si>
  <si>
    <t>most Bohuňovice</t>
  </si>
  <si>
    <t>Vědecká knihovna Olomouc - DIGIMON</t>
  </si>
  <si>
    <t xml:space="preserve"> - OLÚ Paseka - Výstavba fotovoltaického systému </t>
  </si>
  <si>
    <t xml:space="preserve"> - OLÚ Paseka -  Výstavba solárního systému pro ohřev teplé vody</t>
  </si>
  <si>
    <t>ZŠ Jeseník, Fučíkova 312 - vykácení poškozených stromů</t>
  </si>
  <si>
    <t>ZŠ Uničov, Šternberská 35 - havarijní stav budovy</t>
  </si>
  <si>
    <t>Domov Na zámečku Rokytnice - nákup nového ohřívače TUV</t>
  </si>
  <si>
    <t>Odborný léčebný ústav Paseka, přísp. org. - Nákup centrifugy</t>
  </si>
  <si>
    <t xml:space="preserve"> Vlastivědné muzeum v Olomouci - odkup budovy</t>
  </si>
  <si>
    <t>Muzeum Komenského v Přerově - dofinancování Rekonstrukce mostů na hradě Helfštýn</t>
  </si>
  <si>
    <t>Vlastivědné muzeum v Šumperku - rozšíření výstavních prostor na zámku Úsov</t>
  </si>
  <si>
    <t>Vlastivědné muzeum Jesenicka - havárie na rozvodech vody ve Vodní tvrzy</t>
  </si>
  <si>
    <t>odkup pozemku k.ú. Chořelice, obec Litovel</t>
  </si>
  <si>
    <t>Zdravotnická záchranná služba Olomouckého kraje - odkup pozemku ve Šternberku</t>
  </si>
  <si>
    <t>OLÚ Paseka - odkup stožárové trafostanice a transformátoru</t>
  </si>
  <si>
    <t>b) akce zajišťované odborem majetkovým a právním</t>
  </si>
  <si>
    <t xml:space="preserve"> - autobus do Bela Crkva - AO Vojvodina</t>
  </si>
  <si>
    <t>pol.6123</t>
  </si>
  <si>
    <t xml:space="preserve"> - nákup automobilu Škoda Superb</t>
  </si>
  <si>
    <t xml:space="preserve"> - 2 dřevěné znaky do kongresového sálu budovy KÚOK</t>
  </si>
  <si>
    <t>pol. 6127</t>
  </si>
  <si>
    <t xml:space="preserve"> - keramické dílo "Louže"</t>
  </si>
  <si>
    <t xml:space="preserve"> - grafická prezentační stanice pro prezentaci mapových výstupů ve vysokém rozlišení</t>
  </si>
  <si>
    <t xml:space="preserve"> - optický switch (Ostružnická)</t>
  </si>
  <si>
    <t>odbor investic a evropských programů</t>
  </si>
  <si>
    <t xml:space="preserve"> - Úpravy na budově Krajského úřadu Olomouckého kraj</t>
  </si>
  <si>
    <t xml:space="preserve"> - Zvýšení efektivity a transparentnosti Krajského úřadu Olomouckého kraje</t>
  </si>
  <si>
    <t xml:space="preserve"> - SH ČSM, Krajské sdružení hasičů Olomouckého kraje - pořízení vozidla</t>
  </si>
  <si>
    <t xml:space="preserve"> - Krajské ředitelství Policie ČR - pořízení vozidla</t>
  </si>
  <si>
    <t xml:space="preserve"> - Hasičský záchranný sbor Olomouckého kraje - tlakové lahve a zhodnocení prostoru Hamry</t>
  </si>
  <si>
    <t>Nosič kontejnerů s nakládacím jeřábem pro HZS OK</t>
  </si>
  <si>
    <t>Nafukovací člun</t>
  </si>
  <si>
    <t>ORJ 02</t>
  </si>
  <si>
    <t>II/436 Přerov - úprava křižovatky silnic, Dluhonská</t>
  </si>
  <si>
    <t>Vlastivědné muzeum v Olomouci - expozice etnografie a osobností kraje</t>
  </si>
  <si>
    <t>Vlastivědné muzeum v Olomouci - expozice mapující historii Univerzity Palackého</t>
  </si>
  <si>
    <t>Vlastivědné muzeum v Olomouci - informační systém muzea</t>
  </si>
  <si>
    <t>Vlastivědné muzeum v Olomouci - vybudování expozice Lapidária</t>
  </si>
  <si>
    <t>Muzeum Prostějovska v Prostějově - stálá historická a rcheologická expozice</t>
  </si>
  <si>
    <t>Vlastivědné muzeum v Šumperku - expozice archeologie v Mohelnickém muzeu</t>
  </si>
  <si>
    <t>Vlastivědné muzeum v Olomouci - restaurování renesančních reliéfů</t>
  </si>
  <si>
    <t>Obchodní akademie, Prostějov, Palackého 18 - Výměna oken</t>
  </si>
  <si>
    <t>Základní škola a Mateřská škola logopedická Olomouc - Propojovací teplovody</t>
  </si>
  <si>
    <t>Střední škola, Základní škola a Mateřská škola Šumperk, Hanácká 3 - Plochá střecha</t>
  </si>
  <si>
    <t>Domov pro seniory Javorník - Evakuační lůžkový výtah</t>
  </si>
  <si>
    <t>Střední škola polytechnická, Olomouc, Rooseveltova 79 - Výměna oken budovy a střecha OV 1</t>
  </si>
  <si>
    <t xml:space="preserve">Obchodní akademie, Olomouc, třída Spojenců 11 - rekonstrukce kotelny </t>
  </si>
  <si>
    <t>RZ - 8123</t>
  </si>
  <si>
    <t>zapojit do roku 2013</t>
  </si>
  <si>
    <t>poznámky</t>
  </si>
  <si>
    <t>8115 - 2012</t>
  </si>
  <si>
    <t>8123 - 2012</t>
  </si>
  <si>
    <t>2229 - 2012</t>
  </si>
  <si>
    <t>SSOK</t>
  </si>
  <si>
    <t>OŠMT</t>
  </si>
  <si>
    <t>UZ 888</t>
  </si>
  <si>
    <t>8115- 2013</t>
  </si>
  <si>
    <t xml:space="preserve">vratky z roku 2012 budeme zapojovat samostatně </t>
  </si>
  <si>
    <t>zapojeno</t>
  </si>
  <si>
    <t>má být zapojeno</t>
  </si>
  <si>
    <t>výdaje 2012 ze dne 9.1.2013</t>
  </si>
  <si>
    <t>výdaje 2012 ze dne 21.1.2014</t>
  </si>
  <si>
    <t>PO - UZ 886</t>
  </si>
  <si>
    <t>PO - UZ 870 - SSOK</t>
  </si>
  <si>
    <t>ORJ 50</t>
  </si>
  <si>
    <t>ORG 60008</t>
  </si>
  <si>
    <t>ORG 60009</t>
  </si>
  <si>
    <t>Gymnázium, Jeseník, Komenského 281 - Kotelna nižšího gymnázia</t>
  </si>
  <si>
    <t>100317</t>
  </si>
  <si>
    <t>Domov seniorů POHODA Chválkovice - rekonstrukce budovy B</t>
  </si>
  <si>
    <t xml:space="preserve">Sociální služby pro seniory Olomouc - nadstavba stávající budovy </t>
  </si>
  <si>
    <t>7. Investiční výdaje odborů</t>
  </si>
  <si>
    <t>Orj 02</t>
  </si>
  <si>
    <t>Orj 03</t>
  </si>
  <si>
    <t>Orj 01</t>
  </si>
  <si>
    <t>Orj 06</t>
  </si>
  <si>
    <t>Orj 08</t>
  </si>
  <si>
    <t>Orj 14</t>
  </si>
  <si>
    <t>ORJ 50+59</t>
  </si>
  <si>
    <t>Domov důchodců Kobylá n./Vidnávkou - vybudování ČOV</t>
  </si>
  <si>
    <t>Domov Na zámečku Rokytnice - nákup konvektomatu</t>
  </si>
  <si>
    <t>Nový pavilon areálu Domov pro seniory Radkova Lhota - připojení odběrného místa ČEZ</t>
  </si>
  <si>
    <t>Archeologické centrum Olomouc - detektory kovů</t>
  </si>
  <si>
    <t>PO UZ13+24</t>
  </si>
  <si>
    <t>6331, uZ 24</t>
  </si>
  <si>
    <t>Přerov - Předmostí, Lipová - lázně - skládka</t>
  </si>
  <si>
    <t xml:space="preserve">PO </t>
  </si>
  <si>
    <t xml:space="preserve"> - technické zhodnocení budov KÚOK </t>
  </si>
  <si>
    <t xml:space="preserve"> - kamerový systém KÚOK </t>
  </si>
  <si>
    <t>Střední zdravotnická škola a Vyšší odborná škola zdravotnická Emanuela Pöttinga, Olomouc, Pöttingova 2 - rekonstrukce WC v budově C, I. etapa</t>
  </si>
  <si>
    <t>ZŠ Vlčice - Oprava střechy</t>
  </si>
  <si>
    <t>Gymnázium, Jeseník, Komenského 281 - Výdejna stravy</t>
  </si>
  <si>
    <t>Slovanské gymnázium, Olomouc, tř. Jiřího z Poděbrad 13 - Elektroinstalace</t>
  </si>
  <si>
    <t>Vincentinum - poskytovatel sociálních služeb Šternberk - Úprava venkovních prostor pro imobilní uživatele</t>
  </si>
  <si>
    <t>Pasportizace objektů příspěvkových organizací</t>
  </si>
  <si>
    <t>Dům seniorů FRANTIŠEK Náměšť na Hané - přístavba pavilonu</t>
  </si>
  <si>
    <t xml:space="preserve">Vincentinum - poskytovatel sociálních služeb Šternberk - Přestavba prádelny </t>
  </si>
  <si>
    <t>Nové Zámky - poskytovatel sociálních služeb - výměna oken a rekonstrukce venkovního omítkového pláště</t>
  </si>
  <si>
    <t>Nové Zámky - poskytovatel sociálních služeb - přestavba kotelny</t>
  </si>
  <si>
    <t>Domov "Na zámku" Nezamyslice - sanace vlhkého zdiva</t>
  </si>
  <si>
    <t>Domov seniorů POHODA Chválkovice - Vybudování nového evakuačního výtahu v pavilonu B a v DS</t>
  </si>
  <si>
    <t>Vědecká knihovna v Olomouci - rekonstrukce skladu Neředín - I.etapa</t>
  </si>
  <si>
    <t>Vlastivědné muzeum Jesenicka - statické zabezpečení vodní tvrze</t>
  </si>
  <si>
    <t>Vlastivědné muzeum Jesenicka - posilující přípojka elektroinstalace pro venkovní akce</t>
  </si>
  <si>
    <t>Muzeum Komenského v Přerově - rekonstrukce budovy Horní náměstí 7, Přerov</t>
  </si>
  <si>
    <t>Muzeum Komenského v Přerově - Rekonstrukce mostů na hradě Helfštýn</t>
  </si>
  <si>
    <t>Muzeum Komenského v Přerově - Rekonstrukce budovy na Nábřeží Dr. E. Beneše 21 pro účely depozitářů</t>
  </si>
  <si>
    <t xml:space="preserve">Ostružná - obchvat, 1. a 2. etapa </t>
  </si>
  <si>
    <t>Sušice - přeložka silnice</t>
  </si>
  <si>
    <t>E 442, II/635 Olomouc - komunikace Pražská - Křelovská (propojení okružní křižovatky u Globusu a silnice II/365)</t>
  </si>
  <si>
    <t>III/44436 Bělkovice - Lašťany - obchvat</t>
  </si>
  <si>
    <t>II/448 a II/446 Olomouc - okružní křižovatka ulic Dobrovského, Na Střelnici</t>
  </si>
  <si>
    <t>III/4432 Olomouc – Svatý Kopeček – přeložka komunikace</t>
  </si>
  <si>
    <t>Uničov - Šternberk - II/444</t>
  </si>
  <si>
    <t>III/43510 Blatec - průtah</t>
  </si>
  <si>
    <t>III/4345 Klenovice na Hané - Iváň</t>
  </si>
  <si>
    <t>II/439 Ústí - průtah a hranice okr. VS</t>
  </si>
  <si>
    <t>II/369 Hanušovice - křižovatka I/11</t>
  </si>
  <si>
    <t>III/37354, III/36618 Horní Štěpánov</t>
  </si>
  <si>
    <t>II/449 Senice - průtah</t>
  </si>
  <si>
    <t>III/44029 Drahotuše - průtah</t>
  </si>
  <si>
    <t>III/37354 Holubice - Hrochov</t>
  </si>
  <si>
    <t>III/36719 Pivín - rekonstrukce silnice</t>
  </si>
  <si>
    <t>III/4359, III4353 Velký Týnec - rekonstrukce silnice, IV. Etapa</t>
  </si>
  <si>
    <t>Odborný léčebný ústav neurologicko-geriatrický Moravský Beroun - Úprava oddělení III, pavilon 2 pro oddělení DIOP</t>
  </si>
  <si>
    <t>Zdravotnická záchranná služba OK - Zateplení budovy výjezdového stanoviště Zborovská 1910, Hranice</t>
  </si>
  <si>
    <t>Vincentinum - poskytovatel sociálních služeb Šternberk - Konvektomat</t>
  </si>
  <si>
    <t>Vlastivědné muzeum v Olomouci - vybudování šatny pro návštěvníky</t>
  </si>
  <si>
    <t xml:space="preserve">Valšovský Žleb - Dlouhá Loučka - II/449 </t>
  </si>
  <si>
    <t>Realizace energeticky úsporných opatření - Domov důchodců D Kobylá nad Vidnávkou (kotelna, zateplení, solární panely)</t>
  </si>
  <si>
    <t>Gymnázium, Olomouc, Čajkovského 9 - Výstavba tělocvičny a sportovní víceúčelové hřiště</t>
  </si>
  <si>
    <t>Ohrozim-obchvat</t>
  </si>
  <si>
    <t>Dub nad Moravou - hr.okresu PV - rekonstrukce silnice</t>
  </si>
  <si>
    <t>Dub - Tovačov, stavební úpravy (křiž. s II/150 po křiž. Do Tovačova do II/433)</t>
  </si>
  <si>
    <t>Dub nad Moravou - hranice krajů OL/ZL silnice II/150 - Želátovice - Dřevohostice</t>
  </si>
  <si>
    <t>Valšovský Žleb - Dlouhá Loučka - II/449</t>
  </si>
  <si>
    <t>III/44429 - Šternberk, Hvězdné údolí, I. etapa</t>
  </si>
  <si>
    <t>Obchodní akademie, tř. Spojenců 11 Olomouc - rekonstrukce kotelny - výměna zdrojů tepla</t>
  </si>
  <si>
    <t>SOŠ Litovel, Komenského 677, Litovel - sanace poškozené nosné stropní konstrukce haly odborného výcviku - Uničovská 132</t>
  </si>
  <si>
    <t>Realizace energeticky úsporných opatření - SOŠ gastronomie a potravinářství Jeseník</t>
  </si>
  <si>
    <t>Transformace Vincentina Šternberk - I. Etapa</t>
  </si>
  <si>
    <t>Dub - Tovačov, stavební úpravy (křiž. s II/150 po křiž. do Tovačova do II/433)</t>
  </si>
  <si>
    <t>ORJ 8</t>
  </si>
  <si>
    <t>ORJ 1</t>
  </si>
  <si>
    <t>ORJ 2</t>
  </si>
  <si>
    <t>ORJ 3</t>
  </si>
  <si>
    <t xml:space="preserve"> - obraz Modré vzrušení II (autor J. Hastík)</t>
  </si>
  <si>
    <t>ORJ 6</t>
  </si>
  <si>
    <t>ORJ 14</t>
  </si>
  <si>
    <t xml:space="preserve"> Realizace energeticky úsporných opatření - Domov důchodců D Kobylá nad Vidnávkou (kotelna, zateplení, solární panely)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</si>
</sst>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40" fillId="0" borderId="0"/>
  </cellStyleXfs>
  <cellXfs count="52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4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9" fillId="0" borderId="0" xfId="0" applyFont="1" applyFill="1"/>
    <xf numFmtId="4" fontId="9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9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1" applyAlignment="1">
      <alignment horizontal="right"/>
    </xf>
    <xf numFmtId="4" fontId="3" fillId="0" borderId="0" xfId="1" applyNumberFormat="1"/>
    <xf numFmtId="0" fontId="3" fillId="0" borderId="0" xfId="1"/>
    <xf numFmtId="0" fontId="30" fillId="0" borderId="0" xfId="1" applyFont="1" applyAlignment="1">
      <alignment horizontal="right"/>
    </xf>
    <xf numFmtId="0" fontId="8" fillId="0" borderId="19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/>
    <xf numFmtId="0" fontId="7" fillId="0" borderId="0" xfId="1" applyFont="1"/>
    <xf numFmtId="0" fontId="3" fillId="0" borderId="0" xfId="1" applyBorder="1"/>
    <xf numFmtId="0" fontId="7" fillId="0" borderId="21" xfId="1" applyFont="1" applyBorder="1"/>
    <xf numFmtId="0" fontId="3" fillId="0" borderId="21" xfId="1" applyBorder="1"/>
    <xf numFmtId="0" fontId="3" fillId="0" borderId="21" xfId="1" applyBorder="1" applyAlignment="1">
      <alignment horizontal="right"/>
    </xf>
    <xf numFmtId="0" fontId="3" fillId="0" borderId="7" xfId="1" applyBorder="1"/>
    <xf numFmtId="4" fontId="23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 vertical="center"/>
    </xf>
    <xf numFmtId="0" fontId="2" fillId="0" borderId="24" xfId="1" applyFont="1" applyBorder="1"/>
    <xf numFmtId="4" fontId="6" fillId="0" borderId="4" xfId="1" applyNumberFormat="1" applyFont="1" applyBorder="1"/>
    <xf numFmtId="4" fontId="6" fillId="0" borderId="5" xfId="1" applyNumberFormat="1" applyFont="1" applyBorder="1"/>
    <xf numFmtId="0" fontId="10" fillId="0" borderId="24" xfId="1" applyFont="1" applyBorder="1"/>
    <xf numFmtId="4" fontId="10" fillId="0" borderId="4" xfId="1" applyNumberFormat="1" applyFont="1" applyBorder="1"/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/>
    </xf>
    <xf numFmtId="0" fontId="10" fillId="0" borderId="24" xfId="1" applyFont="1" applyFill="1" applyBorder="1"/>
    <xf numFmtId="0" fontId="2" fillId="0" borderId="7" xfId="1" applyFont="1" applyBorder="1" applyAlignment="1">
      <alignment horizontal="left"/>
    </xf>
    <xf numFmtId="4" fontId="2" fillId="0" borderId="1" xfId="1" applyNumberFormat="1" applyFont="1" applyBorder="1"/>
    <xf numFmtId="4" fontId="2" fillId="0" borderId="26" xfId="1" applyNumberFormat="1" applyFont="1" applyBorder="1"/>
    <xf numFmtId="0" fontId="24" fillId="0" borderId="0" xfId="1" applyFont="1" applyBorder="1" applyAlignment="1">
      <alignment horizontal="left"/>
    </xf>
    <xf numFmtId="4" fontId="2" fillId="0" borderId="0" xfId="1" applyNumberFormat="1" applyFont="1" applyBorder="1"/>
    <xf numFmtId="0" fontId="3" fillId="0" borderId="0" xfId="1" applyFont="1"/>
    <xf numFmtId="0" fontId="9" fillId="0" borderId="0" xfId="1" applyFont="1" applyBorder="1" applyAlignment="1">
      <alignment horizontal="left"/>
    </xf>
    <xf numFmtId="0" fontId="20" fillId="0" borderId="24" xfId="1" applyFont="1" applyBorder="1" applyAlignment="1">
      <alignment horizontal="left"/>
    </xf>
    <xf numFmtId="4" fontId="20" fillId="0" borderId="4" xfId="1" applyNumberFormat="1" applyFont="1" applyBorder="1"/>
    <xf numFmtId="0" fontId="20" fillId="0" borderId="0" xfId="1" applyFont="1"/>
    <xf numFmtId="0" fontId="25" fillId="0" borderId="0" xfId="1" applyFont="1"/>
    <xf numFmtId="0" fontId="2" fillId="0" borderId="0" xfId="1" applyFont="1" applyAlignment="1">
      <alignment horizontal="right"/>
    </xf>
    <xf numFmtId="4" fontId="2" fillId="0" borderId="0" xfId="1" applyNumberFormat="1" applyFont="1"/>
    <xf numFmtId="0" fontId="26" fillId="0" borderId="0" xfId="1" applyFont="1"/>
    <xf numFmtId="4" fontId="10" fillId="2" borderId="0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left" vertical="center"/>
    </xf>
    <xf numFmtId="0" fontId="7" fillId="0" borderId="0" xfId="1" applyFont="1" applyFill="1" applyAlignment="1">
      <alignment horizontal="left"/>
    </xf>
    <xf numFmtId="0" fontId="27" fillId="0" borderId="0" xfId="1" applyFont="1" applyFill="1"/>
    <xf numFmtId="4" fontId="27" fillId="0" borderId="0" xfId="1" applyNumberFormat="1" applyFont="1" applyFill="1"/>
    <xf numFmtId="0" fontId="3" fillId="0" borderId="0" xfId="1" applyFill="1"/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3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7" fillId="0" borderId="0" xfId="1" applyFont="1"/>
    <xf numFmtId="0" fontId="9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4" fontId="3" fillId="0" borderId="1" xfId="1" applyNumberFormat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164" fontId="10" fillId="0" borderId="5" xfId="1" applyNumberFormat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11" fillId="2" borderId="0" xfId="1" applyNumberFormat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 wrapText="1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7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5" fillId="0" borderId="5" xfId="1" applyNumberFormat="1" applyFont="1" applyFill="1" applyBorder="1" applyAlignment="1">
      <alignment vertical="center"/>
    </xf>
    <xf numFmtId="0" fontId="28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2" fillId="2" borderId="8" xfId="1" applyNumberFormat="1" applyFont="1" applyFill="1" applyBorder="1" applyAlignment="1">
      <alignment vertical="center"/>
    </xf>
    <xf numFmtId="164" fontId="18" fillId="0" borderId="8" xfId="1" applyNumberFormat="1" applyFont="1" applyFill="1" applyBorder="1" applyAlignment="1">
      <alignment vertical="center"/>
    </xf>
    <xf numFmtId="0" fontId="29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4" fontId="10" fillId="0" borderId="4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4" fontId="10" fillId="0" borderId="13" xfId="1" applyNumberFormat="1" applyFont="1" applyFill="1" applyBorder="1"/>
    <xf numFmtId="4" fontId="10" fillId="0" borderId="13" xfId="1" applyNumberFormat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6" fillId="0" borderId="0" xfId="1" applyFont="1" applyFill="1" applyBorder="1" applyAlignment="1">
      <alignment horizontal="left"/>
    </xf>
    <xf numFmtId="0" fontId="17" fillId="0" borderId="0" xfId="1" applyFont="1" applyFill="1" applyBorder="1"/>
    <xf numFmtId="0" fontId="17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7" fillId="0" borderId="0" xfId="1" applyNumberFormat="1" applyFont="1" applyFill="1" applyBorder="1"/>
    <xf numFmtId="0" fontId="18" fillId="0" borderId="8" xfId="1" applyFont="1" applyFill="1" applyBorder="1" applyAlignment="1">
      <alignment horizontal="left"/>
    </xf>
    <xf numFmtId="4" fontId="15" fillId="0" borderId="8" xfId="1" applyNumberFormat="1" applyFont="1" applyFill="1" applyBorder="1"/>
    <xf numFmtId="164" fontId="15" fillId="0" borderId="8" xfId="1" applyNumberFormat="1" applyFont="1" applyFill="1" applyBorder="1"/>
    <xf numFmtId="3" fontId="3" fillId="0" borderId="0" xfId="1" applyNumberFormat="1" applyFill="1"/>
    <xf numFmtId="4" fontId="3" fillId="0" borderId="0" xfId="1" applyNumberFormat="1" applyFill="1"/>
    <xf numFmtId="164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/>
    <xf numFmtId="4" fontId="3" fillId="0" borderId="0" xfId="1" applyNumberFormat="1" applyFont="1" applyFill="1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center" vertical="center"/>
    </xf>
    <xf numFmtId="0" fontId="3" fillId="2" borderId="0" xfId="1" applyFill="1" applyBorder="1"/>
    <xf numFmtId="4" fontId="9" fillId="0" borderId="0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ill="1"/>
    <xf numFmtId="0" fontId="3" fillId="2" borderId="0" xfId="1" applyFill="1" applyAlignment="1">
      <alignment vertical="center"/>
    </xf>
    <xf numFmtId="0" fontId="3" fillId="2" borderId="0" xfId="1" applyFill="1" applyAlignment="1">
      <alignment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0" fontId="22" fillId="0" borderId="0" xfId="1" applyFont="1" applyFill="1" applyAlignment="1">
      <alignment horizontal="left"/>
    </xf>
    <xf numFmtId="0" fontId="27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3" fillId="4" borderId="0" xfId="1" applyFont="1" applyFill="1" applyAlignment="1">
      <alignment horizontal="left"/>
    </xf>
    <xf numFmtId="0" fontId="10" fillId="2" borderId="0" xfId="1" applyFont="1" applyFill="1" applyBorder="1" applyAlignment="1">
      <alignment vertical="center" wrapText="1"/>
    </xf>
    <xf numFmtId="3" fontId="3" fillId="0" borderId="0" xfId="1" applyNumberFormat="1" applyFont="1" applyFill="1" applyAlignment="1">
      <alignment horizontal="left"/>
    </xf>
    <xf numFmtId="0" fontId="3" fillId="0" borderId="0" xfId="1" applyFont="1" applyAlignment="1">
      <alignment horizontal="left"/>
    </xf>
    <xf numFmtId="49" fontId="3" fillId="0" borderId="0" xfId="1" applyNumberFormat="1" applyFont="1" applyFill="1" applyAlignment="1">
      <alignment horizontal="left"/>
    </xf>
    <xf numFmtId="49" fontId="3" fillId="0" borderId="0" xfId="1" applyNumberFormat="1" applyFont="1" applyFill="1" applyAlignment="1">
      <alignment horizontal="left" vertical="center"/>
    </xf>
    <xf numFmtId="4" fontId="31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8" fillId="0" borderId="0" xfId="1" applyFont="1" applyFill="1"/>
    <xf numFmtId="0" fontId="10" fillId="0" borderId="0" xfId="1" applyFont="1" applyFill="1"/>
    <xf numFmtId="0" fontId="28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7" fillId="0" borderId="0" xfId="1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32" fillId="0" borderId="0" xfId="1" applyFont="1" applyFill="1" applyAlignment="1">
      <alignment horizontal="center"/>
    </xf>
    <xf numFmtId="0" fontId="32" fillId="0" borderId="0" xfId="1" applyFont="1" applyFill="1" applyBorder="1" applyAlignment="1">
      <alignment horizontal="center"/>
    </xf>
    <xf numFmtId="0" fontId="33" fillId="0" borderId="0" xfId="1" applyFont="1" applyFill="1" applyAlignment="1">
      <alignment horizontal="center"/>
    </xf>
    <xf numFmtId="0" fontId="32" fillId="0" borderId="0" xfId="1" applyFont="1" applyFill="1" applyBorder="1" applyAlignment="1">
      <alignment horizontal="left"/>
    </xf>
    <xf numFmtId="0" fontId="9" fillId="0" borderId="28" xfId="1" applyFont="1" applyFill="1" applyBorder="1" applyAlignment="1">
      <alignment horizontal="left" vertical="center"/>
    </xf>
    <xf numFmtId="4" fontId="9" fillId="0" borderId="17" xfId="1" applyNumberFormat="1" applyFont="1" applyFill="1" applyBorder="1" applyAlignment="1">
      <alignment horizontal="right" vertical="center"/>
    </xf>
    <xf numFmtId="164" fontId="9" fillId="0" borderId="11" xfId="1" applyNumberFormat="1" applyFont="1" applyFill="1" applyBorder="1"/>
    <xf numFmtId="4" fontId="27" fillId="0" borderId="0" xfId="1" applyNumberFormat="1" applyFont="1"/>
    <xf numFmtId="4" fontId="28" fillId="0" borderId="0" xfId="1" applyNumberFormat="1" applyFont="1" applyAlignment="1">
      <alignment vertical="center"/>
    </xf>
    <xf numFmtId="0" fontId="3" fillId="5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3" fillId="7" borderId="0" xfId="1" applyFont="1" applyFill="1" applyAlignment="1">
      <alignment horizontal="left"/>
    </xf>
    <xf numFmtId="0" fontId="3" fillId="8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5" fillId="6" borderId="0" xfId="1" applyFont="1" applyFill="1" applyAlignment="1">
      <alignment horizontal="left" vertical="center"/>
    </xf>
    <xf numFmtId="0" fontId="3" fillId="6" borderId="0" xfId="1" applyFont="1" applyFill="1" applyAlignment="1">
      <alignment horizontal="left"/>
    </xf>
    <xf numFmtId="0" fontId="5" fillId="8" borderId="0" xfId="1" applyFont="1" applyFill="1" applyAlignment="1">
      <alignment horizontal="left"/>
    </xf>
    <xf numFmtId="0" fontId="7" fillId="7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center"/>
    </xf>
    <xf numFmtId="0" fontId="35" fillId="0" borderId="0" xfId="0" applyFont="1" applyFill="1"/>
    <xf numFmtId="0" fontId="0" fillId="0" borderId="0" xfId="0" applyFill="1" applyAlignment="1">
      <alignment vertical="center"/>
    </xf>
    <xf numFmtId="4" fontId="10" fillId="9" borderId="4" xfId="1" applyNumberFormat="1" applyFont="1" applyFill="1" applyBorder="1"/>
    <xf numFmtId="4" fontId="6" fillId="9" borderId="4" xfId="1" applyNumberFormat="1" applyFont="1" applyFill="1" applyBorder="1"/>
    <xf numFmtId="0" fontId="31" fillId="0" borderId="0" xfId="1" applyFont="1"/>
    <xf numFmtId="164" fontId="18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9" fillId="0" borderId="11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7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 vertical="center" wrapText="1"/>
    </xf>
    <xf numFmtId="4" fontId="0" fillId="0" borderId="19" xfId="0" applyNumberForma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5" fillId="0" borderId="8" xfId="0" applyNumberFormat="1" applyFont="1" applyFill="1" applyBorder="1" applyAlignment="1">
      <alignment horizontal="right"/>
    </xf>
    <xf numFmtId="3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4" fontId="36" fillId="0" borderId="0" xfId="0" applyNumberFormat="1" applyFont="1" applyFill="1" applyAlignment="1">
      <alignment horizontal="right"/>
    </xf>
    <xf numFmtId="3" fontId="37" fillId="0" borderId="0" xfId="0" applyNumberFormat="1" applyFont="1" applyFill="1" applyAlignment="1">
      <alignment horizontal="right"/>
    </xf>
    <xf numFmtId="0" fontId="37" fillId="0" borderId="0" xfId="0" applyFont="1" applyFill="1" applyAlignment="1">
      <alignment horizontal="right"/>
    </xf>
    <xf numFmtId="4" fontId="37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30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165" fontId="7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9" fillId="0" borderId="5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/>
    </xf>
    <xf numFmtId="4" fontId="10" fillId="2" borderId="19" xfId="0" applyNumberFormat="1" applyFont="1" applyFill="1" applyBorder="1" applyAlignment="1">
      <alignment horizontal="right"/>
    </xf>
    <xf numFmtId="4" fontId="11" fillId="2" borderId="19" xfId="0" applyNumberFormat="1" applyFont="1" applyFill="1" applyBorder="1" applyAlignment="1">
      <alignment horizontal="right" vertical="center"/>
    </xf>
    <xf numFmtId="164" fontId="10" fillId="0" borderId="19" xfId="0" applyNumberFormat="1" applyFont="1" applyFill="1" applyBorder="1" applyAlignment="1">
      <alignment horizontal="right" vertical="center"/>
    </xf>
    <xf numFmtId="164" fontId="12" fillId="0" borderId="25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4" fontId="20" fillId="0" borderId="5" xfId="1" applyNumberFormat="1" applyFont="1" applyBorder="1"/>
    <xf numFmtId="0" fontId="38" fillId="0" borderId="0" xfId="1" applyFont="1"/>
    <xf numFmtId="0" fontId="39" fillId="0" borderId="0" xfId="1" applyFont="1"/>
    <xf numFmtId="49" fontId="13" fillId="2" borderId="19" xfId="2" applyNumberFormat="1" applyFont="1" applyFill="1" applyBorder="1" applyAlignment="1">
      <alignment vertical="top" wrapText="1"/>
    </xf>
    <xf numFmtId="0" fontId="8" fillId="0" borderId="3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49" fontId="1" fillId="0" borderId="14" xfId="1" applyNumberFormat="1" applyFont="1" applyFill="1" applyBorder="1" applyAlignment="1">
      <alignment horizontal="center" vertical="center" wrapText="1"/>
    </xf>
    <xf numFmtId="49" fontId="1" fillId="0" borderId="15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0" fontId="1" fillId="0" borderId="15" xfId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164" fontId="9" fillId="0" borderId="27" xfId="0" applyNumberFormat="1" applyFont="1" applyFill="1" applyBorder="1" applyAlignment="1">
      <alignment horizontal="right"/>
    </xf>
    <xf numFmtId="0" fontId="1" fillId="2" borderId="14" xfId="1" applyFont="1" applyFill="1" applyBorder="1" applyAlignment="1">
      <alignment horizontal="center" vertical="center"/>
    </xf>
    <xf numFmtId="0" fontId="1" fillId="0" borderId="16" xfId="7" applyFont="1" applyFill="1" applyBorder="1" applyAlignment="1">
      <alignment horizontal="center" vertical="center"/>
    </xf>
    <xf numFmtId="0" fontId="1" fillId="0" borderId="15" xfId="7" applyFont="1" applyFill="1" applyBorder="1" applyAlignment="1">
      <alignment horizontal="center" vertical="center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33" xfId="9" applyFont="1" applyFill="1" applyBorder="1" applyAlignment="1">
      <alignment horizontal="center" vertical="center" wrapText="1"/>
    </xf>
    <xf numFmtId="164" fontId="9" fillId="0" borderId="27" xfId="0" applyNumberFormat="1" applyFont="1" applyFill="1" applyBorder="1" applyAlignment="1">
      <alignment horizontal="right" vertical="center"/>
    </xf>
    <xf numFmtId="4" fontId="9" fillId="0" borderId="32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4" fontId="2" fillId="2" borderId="21" xfId="0" applyNumberFormat="1" applyFont="1" applyFill="1" applyBorder="1" applyAlignment="1">
      <alignment horizontal="right" vertical="center"/>
    </xf>
    <xf numFmtId="165" fontId="7" fillId="0" borderId="21" xfId="0" applyNumberFormat="1" applyFont="1" applyBorder="1" applyAlignment="1">
      <alignment horizontal="right"/>
    </xf>
    <xf numFmtId="0" fontId="10" fillId="0" borderId="19" xfId="1" applyFont="1" applyFill="1" applyBorder="1" applyAlignment="1" applyProtection="1">
      <alignment vertical="center" wrapText="1"/>
      <protection locked="0"/>
    </xf>
    <xf numFmtId="4" fontId="10" fillId="0" borderId="19" xfId="1" applyNumberFormat="1" applyFont="1" applyFill="1" applyBorder="1" applyAlignment="1">
      <alignment horizontal="right" vertical="center" wrapText="1"/>
    </xf>
    <xf numFmtId="4" fontId="11" fillId="2" borderId="19" xfId="1" applyNumberFormat="1" applyFont="1" applyFill="1" applyBorder="1" applyAlignment="1">
      <alignment horizontal="right" vertical="center"/>
    </xf>
    <xf numFmtId="164" fontId="12" fillId="0" borderId="19" xfId="0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vertical="center" wrapText="1"/>
    </xf>
    <xf numFmtId="0" fontId="10" fillId="0" borderId="0" xfId="7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center" vertical="center" wrapText="1"/>
    </xf>
    <xf numFmtId="0" fontId="1" fillId="10" borderId="0" xfId="1" applyFont="1" applyFill="1" applyBorder="1" applyAlignment="1">
      <alignment horizontal="center" vertical="center"/>
    </xf>
    <xf numFmtId="0" fontId="3" fillId="10" borderId="0" xfId="5" applyNumberFormat="1" applyFont="1" applyFill="1" applyBorder="1" applyAlignment="1">
      <alignment horizontal="center" vertical="center" wrapText="1"/>
    </xf>
    <xf numFmtId="49" fontId="13" fillId="2" borderId="0" xfId="2" applyNumberFormat="1" applyFont="1" applyFill="1" applyBorder="1" applyAlignment="1">
      <alignment vertical="top" wrapText="1"/>
    </xf>
    <xf numFmtId="4" fontId="10" fillId="2" borderId="0" xfId="0" applyNumberFormat="1" applyFont="1" applyFill="1" applyBorder="1" applyAlignment="1">
      <alignment horizontal="right"/>
    </xf>
    <xf numFmtId="4" fontId="11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6" fillId="2" borderId="19" xfId="0" applyFont="1" applyFill="1" applyBorder="1"/>
    <xf numFmtId="3" fontId="6" fillId="2" borderId="19" xfId="0" applyNumberFormat="1" applyFont="1" applyFill="1" applyBorder="1" applyAlignment="1">
      <alignment horizontal="right" vertical="center"/>
    </xf>
    <xf numFmtId="4" fontId="6" fillId="2" borderId="19" xfId="0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 wrapText="1"/>
    </xf>
    <xf numFmtId="4" fontId="10" fillId="0" borderId="25" xfId="1" applyNumberFormat="1" applyFont="1" applyFill="1" applyBorder="1" applyAlignment="1">
      <alignment horizontal="right" vertical="center" wrapText="1"/>
    </xf>
    <xf numFmtId="4" fontId="11" fillId="2" borderId="25" xfId="1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/>
    <xf numFmtId="4" fontId="10" fillId="2" borderId="19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41" fillId="10" borderId="0" xfId="0" applyFont="1" applyFill="1"/>
    <xf numFmtId="0" fontId="42" fillId="0" borderId="0" xfId="0" applyFont="1" applyFill="1"/>
    <xf numFmtId="0" fontId="43" fillId="10" borderId="0" xfId="0" applyFont="1" applyFill="1"/>
    <xf numFmtId="0" fontId="41" fillId="4" borderId="0" xfId="0" applyFont="1" applyFill="1"/>
    <xf numFmtId="0" fontId="41" fillId="4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4" fillId="4" borderId="0" xfId="0" applyFont="1" applyFill="1"/>
    <xf numFmtId="0" fontId="34" fillId="5" borderId="0" xfId="0" applyFont="1" applyFill="1"/>
    <xf numFmtId="0" fontId="34" fillId="5" borderId="12" xfId="0" applyFont="1" applyFill="1" applyBorder="1"/>
    <xf numFmtId="0" fontId="34" fillId="7" borderId="0" xfId="0" applyFont="1" applyFill="1"/>
    <xf numFmtId="0" fontId="44" fillId="0" borderId="0" xfId="0" applyFont="1" applyFill="1"/>
    <xf numFmtId="0" fontId="9" fillId="0" borderId="21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3" fillId="3" borderId="0" xfId="1" applyNumberFormat="1" applyFont="1" applyFill="1" applyAlignment="1">
      <alignment horizontal="left"/>
    </xf>
    <xf numFmtId="49" fontId="1" fillId="0" borderId="0" xfId="1" applyNumberFormat="1" applyFont="1" applyFill="1" applyAlignment="1">
      <alignment horizontal="left"/>
    </xf>
    <xf numFmtId="49" fontId="1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41" fillId="1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2" fillId="0" borderId="0" xfId="1" applyFont="1" applyFill="1" applyBorder="1" applyAlignment="1">
      <alignment horizontal="left" vertical="center"/>
    </xf>
    <xf numFmtId="4" fontId="0" fillId="2" borderId="0" xfId="0" applyNumberFormat="1" applyFill="1" applyAlignment="1">
      <alignment vertical="center"/>
    </xf>
    <xf numFmtId="4" fontId="0" fillId="2" borderId="0" xfId="0" applyNumberFormat="1" applyFill="1" applyAlignment="1">
      <alignment horizontal="right" vertical="center"/>
    </xf>
    <xf numFmtId="4" fontId="10" fillId="0" borderId="0" xfId="0" applyNumberFormat="1" applyFont="1" applyFill="1" applyBorder="1" applyAlignment="1">
      <alignment horizontal="right"/>
    </xf>
    <xf numFmtId="4" fontId="0" fillId="2" borderId="0" xfId="0" applyNumberFormat="1" applyFill="1"/>
    <xf numFmtId="0" fontId="3" fillId="2" borderId="36" xfId="0" applyFont="1" applyFill="1" applyBorder="1" applyAlignment="1">
      <alignment horizontal="center" vertical="center"/>
    </xf>
    <xf numFmtId="0" fontId="10" fillId="0" borderId="25" xfId="8" applyFont="1" applyFill="1" applyBorder="1" applyAlignment="1">
      <alignment horizontal="left" vertical="center" wrapText="1"/>
    </xf>
    <xf numFmtId="0" fontId="3" fillId="0" borderId="37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left" vertical="center" wrapText="1"/>
    </xf>
    <xf numFmtId="0" fontId="3" fillId="0" borderId="38" xfId="8" applyFont="1" applyFill="1" applyBorder="1" applyAlignment="1">
      <alignment horizontal="center" vertical="center"/>
    </xf>
    <xf numFmtId="0" fontId="45" fillId="0" borderId="0" xfId="1" applyFont="1"/>
    <xf numFmtId="0" fontId="45" fillId="0" borderId="35" xfId="1" applyFont="1" applyBorder="1"/>
    <xf numFmtId="4" fontId="45" fillId="0" borderId="35" xfId="1" applyNumberFormat="1" applyFont="1" applyBorder="1"/>
    <xf numFmtId="0" fontId="3" fillId="0" borderId="35" xfId="1" applyBorder="1"/>
    <xf numFmtId="0" fontId="3" fillId="0" borderId="35" xfId="1" applyBorder="1" applyAlignment="1">
      <alignment horizontal="right"/>
    </xf>
    <xf numFmtId="4" fontId="3" fillId="0" borderId="35" xfId="1" applyNumberFormat="1" applyBorder="1"/>
    <xf numFmtId="4" fontId="6" fillId="0" borderId="35" xfId="1" applyNumberFormat="1" applyFont="1" applyBorder="1"/>
    <xf numFmtId="0" fontId="46" fillId="0" borderId="0" xfId="1" applyFont="1"/>
    <xf numFmtId="14" fontId="32" fillId="2" borderId="0" xfId="0" applyNumberFormat="1" applyFont="1" applyFill="1"/>
    <xf numFmtId="0" fontId="32" fillId="2" borderId="0" xfId="0" applyFont="1" applyFill="1" applyAlignment="1">
      <alignment horizontal="right" vertical="center"/>
    </xf>
    <xf numFmtId="4" fontId="32" fillId="2" borderId="0" xfId="0" applyNumberFormat="1" applyFont="1" applyFill="1" applyAlignment="1">
      <alignment horizontal="right" wrapText="1"/>
    </xf>
    <xf numFmtId="4" fontId="0" fillId="2" borderId="0" xfId="0" applyNumberFormat="1" applyFill="1" applyAlignment="1">
      <alignment horizontal="right" wrapText="1"/>
    </xf>
    <xf numFmtId="4" fontId="47" fillId="2" borderId="0" xfId="0" applyNumberFormat="1" applyFont="1" applyFill="1" applyAlignment="1">
      <alignment horizontal="right" wrapText="1"/>
    </xf>
    <xf numFmtId="0" fontId="47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0" fillId="0" borderId="21" xfId="0" applyFill="1" applyBorder="1" applyAlignment="1">
      <alignment horizontal="center"/>
    </xf>
    <xf numFmtId="4" fontId="6" fillId="0" borderId="21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4" fontId="48" fillId="0" borderId="0" xfId="0" applyNumberFormat="1" applyFont="1" applyFill="1"/>
    <xf numFmtId="4" fontId="49" fillId="0" borderId="0" xfId="0" applyNumberFormat="1" applyFont="1" applyFill="1"/>
    <xf numFmtId="4" fontId="35" fillId="0" borderId="0" xfId="0" applyNumberFormat="1" applyFont="1" applyFill="1"/>
    <xf numFmtId="4" fontId="2" fillId="0" borderId="8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/>
    <xf numFmtId="0" fontId="47" fillId="0" borderId="0" xfId="1" applyFont="1"/>
    <xf numFmtId="4" fontId="47" fillId="0" borderId="0" xfId="1" applyNumberFormat="1" applyFont="1"/>
    <xf numFmtId="0" fontId="50" fillId="0" borderId="0" xfId="1" applyFont="1"/>
    <xf numFmtId="4" fontId="50" fillId="0" borderId="0" xfId="1" applyNumberFormat="1" applyFont="1"/>
    <xf numFmtId="0" fontId="42" fillId="0" borderId="0" xfId="1" applyFont="1"/>
    <xf numFmtId="0" fontId="42" fillId="0" borderId="0" xfId="1" applyFont="1" applyAlignment="1">
      <alignment vertical="center"/>
    </xf>
    <xf numFmtId="0" fontId="51" fillId="0" borderId="0" xfId="1" applyFont="1"/>
    <xf numFmtId="4" fontId="51" fillId="0" borderId="0" xfId="1" applyNumberFormat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4" fontId="3" fillId="0" borderId="0" xfId="1" applyNumberFormat="1" applyFill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7" fillId="0" borderId="21" xfId="1" applyFont="1" applyBorder="1"/>
    <xf numFmtId="4" fontId="6" fillId="0" borderId="11" xfId="1" applyNumberFormat="1" applyFont="1" applyBorder="1"/>
    <xf numFmtId="4" fontId="10" fillId="9" borderId="5" xfId="1" applyNumberFormat="1" applyFont="1" applyFill="1" applyBorder="1"/>
    <xf numFmtId="4" fontId="6" fillId="9" borderId="5" xfId="1" applyNumberFormat="1" applyFont="1" applyFill="1" applyBorder="1"/>
    <xf numFmtId="4" fontId="10" fillId="9" borderId="6" xfId="1" applyNumberFormat="1" applyFont="1" applyFill="1" applyBorder="1"/>
    <xf numFmtId="4" fontId="20" fillId="0" borderId="11" xfId="1" applyNumberFormat="1" applyFont="1" applyBorder="1"/>
    <xf numFmtId="0" fontId="9" fillId="0" borderId="0" xfId="0" applyFon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34" fillId="7" borderId="0" xfId="0" applyFont="1" applyFill="1" applyAlignment="1">
      <alignment vertical="center"/>
    </xf>
    <xf numFmtId="4" fontId="3" fillId="0" borderId="0" xfId="1" applyNumberFormat="1" applyFont="1" applyFill="1" applyAlignment="1">
      <alignment horizontal="left"/>
    </xf>
    <xf numFmtId="4" fontId="1" fillId="2" borderId="0" xfId="1" applyNumberFormat="1" applyFont="1" applyFill="1"/>
    <xf numFmtId="0" fontId="10" fillId="0" borderId="24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 vertical="center"/>
    </xf>
    <xf numFmtId="0" fontId="10" fillId="0" borderId="29" xfId="7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0" fontId="10" fillId="0" borderId="24" xfId="7" applyFont="1" applyFill="1" applyBorder="1" applyAlignment="1">
      <alignment vertical="center" wrapText="1"/>
    </xf>
    <xf numFmtId="4" fontId="10" fillId="0" borderId="4" xfId="1" applyNumberFormat="1" applyFont="1" applyFill="1" applyBorder="1" applyAlignment="1">
      <alignment vertical="center"/>
    </xf>
    <xf numFmtId="4" fontId="10" fillId="0" borderId="21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13" xfId="1" applyNumberFormat="1" applyFont="1" applyFill="1" applyBorder="1" applyAlignment="1">
      <alignment horizontal="right" vertical="center"/>
    </xf>
    <xf numFmtId="0" fontId="10" fillId="0" borderId="29" xfId="1" applyFont="1" applyFill="1" applyBorder="1"/>
    <xf numFmtId="4" fontId="10" fillId="0" borderId="9" xfId="1" applyNumberFormat="1" applyFont="1" applyFill="1" applyBorder="1"/>
    <xf numFmtId="0" fontId="10" fillId="0" borderId="29" xfId="1" applyFont="1" applyFill="1" applyBorder="1" applyAlignment="1">
      <alignment vertical="center" wrapText="1"/>
    </xf>
    <xf numFmtId="4" fontId="10" fillId="0" borderId="22" xfId="1" applyNumberFormat="1" applyFont="1" applyFill="1" applyBorder="1" applyAlignment="1">
      <alignment vertical="center"/>
    </xf>
    <xf numFmtId="0" fontId="10" fillId="0" borderId="29" xfId="1" applyFont="1" applyFill="1" applyBorder="1" applyAlignment="1">
      <alignment horizontal="left" vertical="center"/>
    </xf>
    <xf numFmtId="4" fontId="10" fillId="0" borderId="4" xfId="1" applyNumberFormat="1" applyFont="1" applyFill="1" applyBorder="1" applyAlignment="1">
      <alignment horizontal="right"/>
    </xf>
    <xf numFmtId="0" fontId="10" fillId="0" borderId="24" xfId="1" applyFont="1" applyFill="1" applyBorder="1" applyAlignment="1">
      <alignment horizontal="left" vertical="center" wrapText="1"/>
    </xf>
    <xf numFmtId="164" fontId="10" fillId="0" borderId="5" xfId="1" applyNumberFormat="1" applyFont="1" applyFill="1" applyBorder="1" applyAlignment="1">
      <alignment horizontal="right" vertical="center"/>
    </xf>
    <xf numFmtId="4" fontId="10" fillId="0" borderId="9" xfId="1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21" xfId="0" applyNumberFormat="1" applyFont="1" applyFill="1" applyBorder="1"/>
    <xf numFmtId="4" fontId="10" fillId="0" borderId="13" xfId="1" applyNumberFormat="1" applyFont="1" applyFill="1" applyBorder="1" applyAlignment="1">
      <alignment horizontal="right"/>
    </xf>
    <xf numFmtId="49" fontId="14" fillId="0" borderId="24" xfId="6" applyNumberFormat="1" applyFont="1" applyFill="1" applyBorder="1" applyAlignment="1">
      <alignment horizontal="left" vertical="center" wrapText="1"/>
    </xf>
    <xf numFmtId="4" fontId="10" fillId="0" borderId="22" xfId="1" applyNumberFormat="1" applyFont="1" applyFill="1" applyBorder="1"/>
    <xf numFmtId="4" fontId="10" fillId="0" borderId="22" xfId="1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left"/>
    </xf>
    <xf numFmtId="0" fontId="10" fillId="0" borderId="24" xfId="1" applyFont="1" applyFill="1" applyBorder="1" applyAlignment="1">
      <alignment vertical="top" wrapText="1" shrinkToFit="1"/>
    </xf>
    <xf numFmtId="0" fontId="10" fillId="0" borderId="12" xfId="1" applyFont="1" applyFill="1" applyBorder="1"/>
    <xf numFmtId="4" fontId="11" fillId="0" borderId="0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/>
    </xf>
    <xf numFmtId="0" fontId="10" fillId="0" borderId="24" xfId="7" applyFont="1" applyFill="1" applyBorder="1" applyAlignment="1">
      <alignment horizontal="left" vertical="center" wrapText="1"/>
    </xf>
    <xf numFmtId="0" fontId="10" fillId="0" borderId="24" xfId="9" applyFont="1" applyFill="1" applyBorder="1" applyAlignment="1">
      <alignment horizontal="left" wrapText="1"/>
    </xf>
    <xf numFmtId="0" fontId="10" fillId="0" borderId="24" xfId="9" applyFont="1" applyFill="1" applyBorder="1" applyAlignment="1">
      <alignment horizontal="left"/>
    </xf>
    <xf numFmtId="0" fontId="10" fillId="0" borderId="24" xfId="1" applyFont="1" applyFill="1" applyBorder="1" applyAlignment="1">
      <alignment wrapText="1"/>
    </xf>
    <xf numFmtId="4" fontId="11" fillId="0" borderId="21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4" fontId="11" fillId="0" borderId="4" xfId="1" applyNumberFormat="1" applyFont="1" applyFill="1" applyBorder="1" applyAlignment="1">
      <alignment vertical="center"/>
    </xf>
    <xf numFmtId="0" fontId="10" fillId="0" borderId="24" xfId="1" applyFont="1" applyFill="1" applyBorder="1" applyAlignment="1" applyProtection="1">
      <alignment vertical="center" wrapText="1"/>
      <protection locked="0"/>
    </xf>
    <xf numFmtId="4" fontId="10" fillId="0" borderId="4" xfId="1" applyNumberFormat="1" applyFont="1" applyFill="1" applyBorder="1" applyAlignment="1">
      <alignment horizontal="right" vertical="center" wrapText="1"/>
    </xf>
    <xf numFmtId="164" fontId="12" fillId="0" borderId="27" xfId="0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 vertical="center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4" xfId="1" applyFont="1" applyFill="1" applyBorder="1" applyAlignment="1" applyProtection="1">
      <alignment vertical="center" wrapText="1" shrinkToFit="1"/>
      <protection locked="0"/>
    </xf>
    <xf numFmtId="0" fontId="10" fillId="0" borderId="29" xfId="1" applyFont="1" applyFill="1" applyBorder="1" applyAlignment="1" applyProtection="1">
      <alignment horizontal="left" vertical="center" wrapText="1"/>
      <protection locked="0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21" xfId="1" applyNumberFormat="1" applyFont="1" applyFill="1" applyBorder="1" applyAlignment="1">
      <alignment horizontal="right" vertical="center" wrapText="1"/>
    </xf>
    <xf numFmtId="164" fontId="12" fillId="0" borderId="34" xfId="0" applyNumberFormat="1" applyFont="1" applyFill="1" applyBorder="1" applyAlignment="1">
      <alignment horizontal="right" vertical="center"/>
    </xf>
    <xf numFmtId="164" fontId="12" fillId="0" borderId="5" xfId="0" applyNumberFormat="1" applyFont="1" applyFill="1" applyBorder="1" applyAlignment="1">
      <alignment horizontal="right" vertical="center"/>
    </xf>
    <xf numFmtId="0" fontId="10" fillId="0" borderId="29" xfId="1" applyFont="1" applyFill="1" applyBorder="1" applyAlignment="1" applyProtection="1">
      <alignment vertical="center" wrapText="1"/>
      <protection locked="0"/>
    </xf>
    <xf numFmtId="0" fontId="10" fillId="0" borderId="29" xfId="0" applyFont="1" applyFill="1" applyBorder="1" applyAlignment="1">
      <alignment horizontal="left" vertical="center" wrapText="1"/>
    </xf>
    <xf numFmtId="0" fontId="10" fillId="0" borderId="24" xfId="1" applyFont="1" applyFill="1" applyBorder="1" applyAlignment="1" applyProtection="1">
      <alignment vertical="center"/>
      <protection locked="0"/>
    </xf>
    <xf numFmtId="0" fontId="10" fillId="0" borderId="24" xfId="7" applyFont="1" applyFill="1" applyBorder="1" applyAlignment="1" applyProtection="1">
      <alignment horizontal="left" vertical="center" wrapText="1"/>
      <protection locked="0"/>
    </xf>
    <xf numFmtId="4" fontId="10" fillId="0" borderId="4" xfId="7" applyNumberFormat="1" applyFont="1" applyFill="1" applyBorder="1" applyAlignment="1">
      <alignment horizontal="right" vertical="center" wrapText="1"/>
    </xf>
    <xf numFmtId="4" fontId="10" fillId="0" borderId="0" xfId="7" applyNumberFormat="1" applyFont="1" applyFill="1" applyBorder="1" applyAlignment="1">
      <alignment horizontal="right" vertical="center" wrapText="1"/>
    </xf>
    <xf numFmtId="4" fontId="10" fillId="0" borderId="21" xfId="1" applyNumberFormat="1" applyFont="1" applyFill="1" applyBorder="1" applyAlignment="1">
      <alignment horizontal="right"/>
    </xf>
    <xf numFmtId="0" fontId="10" fillId="0" borderId="29" xfId="9" applyFont="1" applyFill="1" applyBorder="1" applyAlignment="1" applyProtection="1">
      <alignment horizontal="left" vertical="center" wrapText="1"/>
      <protection locked="0"/>
    </xf>
    <xf numFmtId="0" fontId="10" fillId="0" borderId="24" xfId="0" applyFont="1" applyFill="1" applyBorder="1" applyAlignment="1">
      <alignment vertical="center" wrapText="1" shrinkToFit="1"/>
    </xf>
    <xf numFmtId="4" fontId="10" fillId="0" borderId="4" xfId="0" applyNumberFormat="1" applyFont="1" applyFill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vertical="center" wrapText="1" shrinkToFit="1"/>
    </xf>
    <xf numFmtId="4" fontId="10" fillId="0" borderId="9" xfId="0" applyNumberFormat="1" applyFont="1" applyFill="1" applyBorder="1" applyAlignment="1">
      <alignment horizontal="right" vertical="center"/>
    </xf>
    <xf numFmtId="4" fontId="10" fillId="0" borderId="22" xfId="0" applyNumberFormat="1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vertical="center" wrapText="1" shrinkToFit="1"/>
    </xf>
    <xf numFmtId="0" fontId="10" fillId="0" borderId="24" xfId="0" applyFont="1" applyFill="1" applyBorder="1" applyAlignment="1">
      <alignment horizontal="left" vertical="center" wrapText="1" shrinkToFit="1"/>
    </xf>
    <xf numFmtId="0" fontId="10" fillId="0" borderId="24" xfId="0" applyFont="1" applyFill="1" applyBorder="1" applyAlignment="1">
      <alignment vertical="top" wrapText="1" shrinkToFit="1"/>
    </xf>
    <xf numFmtId="4" fontId="11" fillId="0" borderId="13" xfId="0" applyNumberFormat="1" applyFont="1" applyFill="1" applyBorder="1" applyAlignment="1">
      <alignment horizontal="right" vertical="center"/>
    </xf>
    <xf numFmtId="4" fontId="11" fillId="0" borderId="22" xfId="0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29" xfId="3" applyFont="1" applyFill="1" applyBorder="1" applyAlignment="1">
      <alignment horizontal="left" vertical="center" wrapText="1"/>
    </xf>
    <xf numFmtId="49" fontId="11" fillId="0" borderId="24" xfId="6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/>
    </xf>
    <xf numFmtId="49" fontId="11" fillId="0" borderId="29" xfId="6" applyNumberFormat="1" applyFont="1" applyFill="1" applyBorder="1" applyAlignment="1">
      <alignment horizontal="left" vertical="center" wrapText="1"/>
    </xf>
    <xf numFmtId="4" fontId="10" fillId="0" borderId="9" xfId="0" applyNumberFormat="1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0" fillId="0" borderId="24" xfId="8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164" fontId="10" fillId="0" borderId="27" xfId="0" applyNumberFormat="1" applyFont="1" applyFill="1" applyBorder="1" applyAlignment="1">
      <alignment horizontal="right"/>
    </xf>
    <xf numFmtId="0" fontId="10" fillId="0" borderId="29" xfId="0" applyFont="1" applyFill="1" applyBorder="1" applyAlignment="1">
      <alignment vertical="center" wrapText="1"/>
    </xf>
    <xf numFmtId="4" fontId="10" fillId="0" borderId="21" xfId="0" applyNumberFormat="1" applyFont="1" applyFill="1" applyBorder="1" applyAlignment="1">
      <alignment horizontal="right" vertical="center"/>
    </xf>
    <xf numFmtId="4" fontId="14" fillId="0" borderId="9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left" wrapText="1"/>
    </xf>
    <xf numFmtId="4" fontId="12" fillId="0" borderId="4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left"/>
    </xf>
    <xf numFmtId="4" fontId="12" fillId="0" borderId="9" xfId="0" applyNumberFormat="1" applyFont="1" applyFill="1" applyBorder="1" applyAlignment="1">
      <alignment horizontal="right"/>
    </xf>
    <xf numFmtId="164" fontId="1" fillId="0" borderId="6" xfId="0" applyNumberFormat="1" applyFont="1" applyFill="1" applyBorder="1" applyAlignment="1">
      <alignment horizontal="right"/>
    </xf>
    <xf numFmtId="0" fontId="19" fillId="0" borderId="24" xfId="0" applyFont="1" applyFill="1" applyBorder="1" applyAlignment="1">
      <alignment horizontal="left"/>
    </xf>
    <xf numFmtId="0" fontId="10" fillId="0" borderId="12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0" fontId="2" fillId="0" borderId="24" xfId="1" applyFont="1" applyBorder="1" applyAlignment="1">
      <alignment wrapText="1"/>
    </xf>
  </cellXfs>
  <cellStyles count="11">
    <cellStyle name="Normální" xfId="0" builtinId="0"/>
    <cellStyle name="Normální 2" xfId="1"/>
    <cellStyle name="normální 2 2" xfId="10"/>
    <cellStyle name="normální_07-09-Návrh investic PO OKPP na rok 2008 - PRIORITY - konečný přehled -17 10 2007" xfId="2"/>
    <cellStyle name="normální_investice 2005- doprava-upravený2" xfId="3"/>
    <cellStyle name="normální_Investice 2005-sociální, zdravotní, kutura" xfId="4"/>
    <cellStyle name="normální_Investice 2005-sociální, zdravotní, kutura 2" xfId="5"/>
    <cellStyle name="normální_Kultura -Přehled investic PO OKPP na rok 2009 - 3.10.2008" xfId="6"/>
    <cellStyle name="normální_Sociální - investice a opravy 2009 - sumarizace vč. prior - 10-12-2008" xfId="7"/>
    <cellStyle name="normální_Studie IZ - silnice 2003" xfId="8"/>
    <cellStyle name="normální_Studie IZ - silnice 200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69"/>
  <sheetViews>
    <sheetView showGridLines="0"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29.140625" style="49" customWidth="1"/>
    <col min="2" max="2" width="19.5703125" style="49" customWidth="1"/>
    <col min="3" max="4" width="21.85546875" style="49" bestFit="1" customWidth="1"/>
    <col min="5" max="5" width="3.28515625" style="49" customWidth="1"/>
    <col min="6" max="6" width="22.5703125" style="49" customWidth="1"/>
    <col min="7" max="7" width="23.7109375" style="49" customWidth="1"/>
    <col min="8" max="8" width="16.28515625" style="49" bestFit="1" customWidth="1"/>
    <col min="9" max="9" width="18.85546875" style="49" customWidth="1"/>
    <col min="10" max="16384" width="9.140625" style="49"/>
  </cols>
  <sheetData>
    <row r="1" spans="1:9" ht="18" x14ac:dyDescent="0.25">
      <c r="A1" s="57" t="s">
        <v>278</v>
      </c>
      <c r="B1" s="58"/>
      <c r="C1" s="58"/>
      <c r="D1" s="58"/>
    </row>
    <row r="2" spans="1:9" ht="18.75" thickBot="1" x14ac:dyDescent="0.3">
      <c r="A2" s="59"/>
      <c r="B2" s="60"/>
      <c r="C2" s="60"/>
      <c r="D2" s="61" t="s">
        <v>18</v>
      </c>
    </row>
    <row r="3" spans="1:9" ht="14.25" thickTop="1" thickBot="1" x14ac:dyDescent="0.25">
      <c r="A3" s="62"/>
      <c r="B3" s="63" t="s">
        <v>0</v>
      </c>
      <c r="C3" s="64" t="s">
        <v>1</v>
      </c>
      <c r="D3" s="65" t="s">
        <v>4</v>
      </c>
    </row>
    <row r="4" spans="1:9" ht="16.5" thickTop="1" x14ac:dyDescent="0.25">
      <c r="A4" s="66" t="s">
        <v>7</v>
      </c>
      <c r="B4" s="212">
        <f>SUM(B5:B8)</f>
        <v>332270000</v>
      </c>
      <c r="C4" s="67">
        <f>SUM(C5:C8)</f>
        <v>409955949.51999998</v>
      </c>
      <c r="D4" s="406">
        <f>SUM(D5:D8)</f>
        <v>390048520.22000003</v>
      </c>
    </row>
    <row r="5" spans="1:9" x14ac:dyDescent="0.2">
      <c r="A5" s="69" t="s">
        <v>45</v>
      </c>
      <c r="B5" s="211">
        <f>'8c. OK 2012'!B303</f>
        <v>49469000</v>
      </c>
      <c r="C5" s="211">
        <f>'8c. OK 2012'!C303</f>
        <v>64586770.960000001</v>
      </c>
      <c r="D5" s="407">
        <f>'8c. OK 2012'!D303</f>
        <v>58056398.899999999</v>
      </c>
    </row>
    <row r="6" spans="1:9" x14ac:dyDescent="0.2">
      <c r="A6" s="69" t="s">
        <v>46</v>
      </c>
      <c r="B6" s="211">
        <f>'8b. KB 2012'!B381</f>
        <v>69533000</v>
      </c>
      <c r="C6" s="211">
        <f>'8b. KB 2012'!C381</f>
        <v>60279397.960000001</v>
      </c>
      <c r="D6" s="407">
        <f>'8b. KB 2012'!D381</f>
        <v>57639732.469999999</v>
      </c>
    </row>
    <row r="7" spans="1:9" x14ac:dyDescent="0.2">
      <c r="A7" s="69" t="s">
        <v>47</v>
      </c>
      <c r="B7" s="211">
        <f>'8a. EIB - Evropské programy'!B119</f>
        <v>213268000</v>
      </c>
      <c r="C7" s="211">
        <f>'8a. EIB - Evropské programy'!C119</f>
        <v>266868766.58000001</v>
      </c>
      <c r="D7" s="407">
        <f>'8a. EIB - Evropské programy'!D119</f>
        <v>256131374.83000001</v>
      </c>
    </row>
    <row r="8" spans="1:9" x14ac:dyDescent="0.2">
      <c r="A8" s="69" t="s">
        <v>48</v>
      </c>
      <c r="B8" s="211">
        <f>'d) dotace'!B39</f>
        <v>0</v>
      </c>
      <c r="C8" s="211">
        <f>'d) dotace'!C39</f>
        <v>18221014.02</v>
      </c>
      <c r="D8" s="407">
        <f>'d) dotace'!D39</f>
        <v>18221014.02</v>
      </c>
    </row>
    <row r="9" spans="1:9" ht="15.75" x14ac:dyDescent="0.25">
      <c r="A9" s="66" t="s">
        <v>9</v>
      </c>
      <c r="B9" s="212">
        <f>SUM(B10:B13)</f>
        <v>264210000</v>
      </c>
      <c r="C9" s="67">
        <f>SUM(C10:C13)</f>
        <v>233629832.19000003</v>
      </c>
      <c r="D9" s="68">
        <f>SUM(D10:D13)</f>
        <v>219152761.39000002</v>
      </c>
    </row>
    <row r="10" spans="1:9" x14ac:dyDescent="0.2">
      <c r="A10" s="69" t="s">
        <v>45</v>
      </c>
      <c r="B10" s="211">
        <f>'8c. OK 2012'!B304</f>
        <v>38329000</v>
      </c>
      <c r="C10" s="211">
        <f>'8c. OK 2012'!C304</f>
        <v>32565239.41</v>
      </c>
      <c r="D10" s="407">
        <f>'8c. OK 2012'!D304</f>
        <v>26849962.760000002</v>
      </c>
      <c r="G10" s="71"/>
      <c r="H10" s="72"/>
      <c r="I10" s="73"/>
    </row>
    <row r="11" spans="1:9" x14ac:dyDescent="0.2">
      <c r="A11" s="69" t="s">
        <v>46</v>
      </c>
      <c r="B11" s="211">
        <f>'8b. KB 2012'!B382</f>
        <v>94499000</v>
      </c>
      <c r="C11" s="211">
        <f>'8b. KB 2012'!C382</f>
        <v>51792932.82</v>
      </c>
      <c r="D11" s="407">
        <f>'8b. KB 2012'!D382</f>
        <v>47502410.950000003</v>
      </c>
      <c r="G11" s="58"/>
      <c r="H11" s="58"/>
      <c r="I11" s="58"/>
    </row>
    <row r="12" spans="1:9" x14ac:dyDescent="0.2">
      <c r="A12" s="69" t="s">
        <v>47</v>
      </c>
      <c r="B12" s="211">
        <f>'8a. EIB - Evropské programy'!B120</f>
        <v>131382000</v>
      </c>
      <c r="C12" s="211">
        <f>'8a. EIB - Evropské programy'!C120</f>
        <v>142129671.56</v>
      </c>
      <c r="D12" s="407">
        <f>'8a. EIB - Evropské programy'!D120</f>
        <v>140387284.34</v>
      </c>
    </row>
    <row r="13" spans="1:9" x14ac:dyDescent="0.2">
      <c r="A13" s="69" t="s">
        <v>48</v>
      </c>
      <c r="B13" s="211">
        <f>'d) dotace'!B40</f>
        <v>0</v>
      </c>
      <c r="C13" s="211">
        <f>'d) dotace'!C40</f>
        <v>7141988.4000000004</v>
      </c>
      <c r="D13" s="407">
        <f>'d) dotace'!D40</f>
        <v>4413103.34</v>
      </c>
    </row>
    <row r="14" spans="1:9" ht="15.75" x14ac:dyDescent="0.25">
      <c r="A14" s="66" t="s">
        <v>11</v>
      </c>
      <c r="B14" s="212">
        <f>SUM(B15:B18)</f>
        <v>224129000</v>
      </c>
      <c r="C14" s="67">
        <f>SUM(C15:C18)</f>
        <v>543494730.97000003</v>
      </c>
      <c r="D14" s="68">
        <f>SUM(D15:D18)</f>
        <v>519713262.72000003</v>
      </c>
    </row>
    <row r="15" spans="1:9" x14ac:dyDescent="0.2">
      <c r="A15" s="69" t="s">
        <v>45</v>
      </c>
      <c r="B15" s="211">
        <f>'8c. OK 2012'!B305</f>
        <v>61381000</v>
      </c>
      <c r="C15" s="211">
        <f>'8c. OK 2012'!C305</f>
        <v>60229406.060000002</v>
      </c>
      <c r="D15" s="407">
        <f>'8c. OK 2012'!D305</f>
        <v>55365740.240000002</v>
      </c>
    </row>
    <row r="16" spans="1:9" x14ac:dyDescent="0.2">
      <c r="A16" s="69" t="s">
        <v>46</v>
      </c>
      <c r="B16" s="211">
        <f>'8b. KB 2012'!B383</f>
        <v>41240000</v>
      </c>
      <c r="C16" s="211">
        <f>'8b. KB 2012'!C383</f>
        <v>39511891.899999999</v>
      </c>
      <c r="D16" s="407">
        <f>'8b. KB 2012'!D383</f>
        <v>32535612.09</v>
      </c>
    </row>
    <row r="17" spans="1:4" x14ac:dyDescent="0.2">
      <c r="A17" s="69" t="s">
        <v>47</v>
      </c>
      <c r="B17" s="211">
        <f>'8a. EIB - Evropské programy'!B122</f>
        <v>121508000</v>
      </c>
      <c r="C17" s="211">
        <f>'8a. EIB - Evropské programy'!C122</f>
        <v>443428959.00999999</v>
      </c>
      <c r="D17" s="407">
        <f>'8a. EIB - Evropské programy'!D122</f>
        <v>431487436.39000005</v>
      </c>
    </row>
    <row r="18" spans="1:4" x14ac:dyDescent="0.2">
      <c r="A18" s="69" t="s">
        <v>90</v>
      </c>
      <c r="B18" s="211">
        <f>'d) dotace'!B41</f>
        <v>0</v>
      </c>
      <c r="C18" s="211">
        <f>'d) dotace'!C41</f>
        <v>324474</v>
      </c>
      <c r="D18" s="407">
        <f>'d) dotace'!D41</f>
        <v>324474</v>
      </c>
    </row>
    <row r="19" spans="1:4" ht="15.75" x14ac:dyDescent="0.25">
      <c r="A19" s="66" t="s">
        <v>8</v>
      </c>
      <c r="B19" s="212">
        <f>SUM(B20:B22)</f>
        <v>58952000</v>
      </c>
      <c r="C19" s="67">
        <f>SUM(C20:C22)</f>
        <v>63023914.449999996</v>
      </c>
      <c r="D19" s="68">
        <f>SUM(D20:D22)</f>
        <v>59459713.850000001</v>
      </c>
    </row>
    <row r="20" spans="1:4" x14ac:dyDescent="0.2">
      <c r="A20" s="69" t="s">
        <v>45</v>
      </c>
      <c r="B20" s="211">
        <f>'8c. OK 2012'!B306</f>
        <v>4908000</v>
      </c>
      <c r="C20" s="211">
        <f>'8c. OK 2012'!C306</f>
        <v>6900605</v>
      </c>
      <c r="D20" s="407">
        <f>'8c. OK 2012'!D306</f>
        <v>6026847</v>
      </c>
    </row>
    <row r="21" spans="1:4" x14ac:dyDescent="0.2">
      <c r="A21" s="69" t="s">
        <v>46</v>
      </c>
      <c r="B21" s="211">
        <f>'8b. KB 2012'!B384</f>
        <v>42377000</v>
      </c>
      <c r="C21" s="211">
        <f>'8b. KB 2012'!C384</f>
        <v>41919318.799999997</v>
      </c>
      <c r="D21" s="407">
        <f>'8b. KB 2012'!D384</f>
        <v>39281812.200000003</v>
      </c>
    </row>
    <row r="22" spans="1:4" x14ac:dyDescent="0.2">
      <c r="A22" s="69" t="s">
        <v>47</v>
      </c>
      <c r="B22" s="211">
        <f>'8a. EIB - Evropské programy'!B121</f>
        <v>11667000</v>
      </c>
      <c r="C22" s="211">
        <f>'8a. EIB - Evropské programy'!C121</f>
        <v>14203990.65</v>
      </c>
      <c r="D22" s="407">
        <f>'8a. EIB - Evropské programy'!D121</f>
        <v>14151054.65</v>
      </c>
    </row>
    <row r="23" spans="1:4" ht="15.75" x14ac:dyDescent="0.25">
      <c r="A23" s="66" t="s">
        <v>10</v>
      </c>
      <c r="B23" s="212">
        <f>SUM(B24:B26)</f>
        <v>72226000</v>
      </c>
      <c r="C23" s="67">
        <f>SUM(C24:C26)</f>
        <v>124371818.14999999</v>
      </c>
      <c r="D23" s="68">
        <f>SUM(D24:D26)</f>
        <v>94914848.390000001</v>
      </c>
    </row>
    <row r="24" spans="1:4" x14ac:dyDescent="0.2">
      <c r="A24" s="69" t="s">
        <v>45</v>
      </c>
      <c r="B24" s="211">
        <f>'8c. OK 2012'!B307</f>
        <v>31669000</v>
      </c>
      <c r="C24" s="211">
        <f>'8c. OK 2012'!C307</f>
        <v>35102666.099999994</v>
      </c>
      <c r="D24" s="407">
        <f>'8c. OK 2012'!D307</f>
        <v>18562492.84</v>
      </c>
    </row>
    <row r="25" spans="1:4" x14ac:dyDescent="0.2">
      <c r="A25" s="69" t="s">
        <v>46</v>
      </c>
      <c r="B25" s="211">
        <f>'8b. KB 2012'!B385</f>
        <v>22974000</v>
      </c>
      <c r="C25" s="211">
        <f>'8b. KB 2012'!C385</f>
        <v>20913915.050000001</v>
      </c>
      <c r="D25" s="407">
        <f>'8b. KB 2012'!D385</f>
        <v>18489386.43</v>
      </c>
    </row>
    <row r="26" spans="1:4" x14ac:dyDescent="0.2">
      <c r="A26" s="69" t="s">
        <v>47</v>
      </c>
      <c r="B26" s="211">
        <f>'8a. EIB - Evropské programy'!B123</f>
        <v>17583000</v>
      </c>
      <c r="C26" s="211">
        <f>'8a. EIB - Evropské programy'!C123</f>
        <v>68355237</v>
      </c>
      <c r="D26" s="407">
        <f>'8a. EIB - Evropské programy'!D123</f>
        <v>57862969.120000005</v>
      </c>
    </row>
    <row r="27" spans="1:4" ht="15.75" x14ac:dyDescent="0.25">
      <c r="A27" s="66" t="s">
        <v>27</v>
      </c>
      <c r="B27" s="212">
        <f>SUM(B28:B29)</f>
        <v>0</v>
      </c>
      <c r="C27" s="67">
        <f>SUM(C28:C29)</f>
        <v>8347643</v>
      </c>
      <c r="D27" s="68">
        <f>SUM(D28:D29)</f>
        <v>8321643</v>
      </c>
    </row>
    <row r="28" spans="1:4" x14ac:dyDescent="0.2">
      <c r="A28" s="69" t="s">
        <v>45</v>
      </c>
      <c r="B28" s="211">
        <f>'8c. OK 2012'!B308</f>
        <v>0</v>
      </c>
      <c r="C28" s="211">
        <f>'8c. OK 2012'!C308</f>
        <v>3178693</v>
      </c>
      <c r="D28" s="407">
        <f>'8c. OK 2012'!D308</f>
        <v>3172693</v>
      </c>
    </row>
    <row r="29" spans="1:4" x14ac:dyDescent="0.2">
      <c r="A29" s="69" t="s">
        <v>47</v>
      </c>
      <c r="B29" s="211">
        <f>'8a. EIB - Evropské programy'!B124</f>
        <v>0</v>
      </c>
      <c r="C29" s="211">
        <f>'8a. EIB - Evropské programy'!C124</f>
        <v>5168950</v>
      </c>
      <c r="D29" s="407">
        <f>'8a. EIB - Evropské programy'!D124</f>
        <v>5148950</v>
      </c>
    </row>
    <row r="30" spans="1:4" ht="31.5" x14ac:dyDescent="0.25">
      <c r="A30" s="525" t="s">
        <v>368</v>
      </c>
      <c r="B30" s="212">
        <f>SUM(B31)</f>
        <v>0</v>
      </c>
      <c r="C30" s="67">
        <f>SUM(C31)</f>
        <v>5090859.87</v>
      </c>
      <c r="D30" s="68">
        <f>SUM(D31)</f>
        <v>5050859.87</v>
      </c>
    </row>
    <row r="31" spans="1:4" x14ac:dyDescent="0.2">
      <c r="A31" s="69" t="s">
        <v>47</v>
      </c>
      <c r="B31" s="211">
        <f>'8a. EIB - Evropské programy'!B125</f>
        <v>0</v>
      </c>
      <c r="C31" s="211">
        <f>'8a. EIB - Evropské programy'!C125</f>
        <v>5090859.87</v>
      </c>
      <c r="D31" s="407">
        <f>'8a. EIB - Evropské programy'!D125</f>
        <v>5050859.87</v>
      </c>
    </row>
    <row r="32" spans="1:4" ht="15.75" x14ac:dyDescent="0.25">
      <c r="A32" s="66" t="s">
        <v>50</v>
      </c>
      <c r="B32" s="212">
        <f>SUM(B33:B34)</f>
        <v>16627000</v>
      </c>
      <c r="C32" s="212">
        <f t="shared" ref="C32:D32" si="0">SUM(C33:C34)</f>
        <v>21246000</v>
      </c>
      <c r="D32" s="408">
        <f t="shared" si="0"/>
        <v>14555980.42</v>
      </c>
    </row>
    <row r="33" spans="1:4" x14ac:dyDescent="0.2">
      <c r="A33" s="69" t="s">
        <v>45</v>
      </c>
      <c r="B33" s="211">
        <f>'8c. OK 2012'!B309</f>
        <v>7627000</v>
      </c>
      <c r="C33" s="211">
        <f>'8c. OK 2012'!C309</f>
        <v>12246000</v>
      </c>
      <c r="D33" s="407">
        <f>'8c. OK 2012'!D309</f>
        <v>12034922.42</v>
      </c>
    </row>
    <row r="34" spans="1:4" ht="13.5" thickBot="1" x14ac:dyDescent="0.25">
      <c r="A34" s="69" t="s">
        <v>46</v>
      </c>
      <c r="B34" s="211">
        <f>'8b. KB 2012'!B386</f>
        <v>9000000</v>
      </c>
      <c r="C34" s="211">
        <f>'8b. KB 2012'!C386</f>
        <v>9000000</v>
      </c>
      <c r="D34" s="409">
        <f>'8b. KB 2012'!D386</f>
        <v>2521058</v>
      </c>
    </row>
    <row r="35" spans="1:4" ht="17.25" thickTop="1" thickBot="1" x14ac:dyDescent="0.3">
      <c r="A35" s="75" t="s">
        <v>51</v>
      </c>
      <c r="B35" s="76">
        <f>SUM(B4,B9,B14,B19,B23,B27,B30,B32)</f>
        <v>968414000</v>
      </c>
      <c r="C35" s="76">
        <f>SUM(C4,C9,C14,C19,C23,C27,C30,C32)</f>
        <v>1409160748.1500001</v>
      </c>
      <c r="D35" s="77">
        <f>SUM(D4,D9,D14,D19,D23,D27,D30,D32)</f>
        <v>1311217589.8599999</v>
      </c>
    </row>
    <row r="36" spans="1:4" s="80" customFormat="1" ht="16.5" thickTop="1" x14ac:dyDescent="0.25">
      <c r="A36" s="78"/>
      <c r="B36" s="79"/>
      <c r="C36" s="79"/>
      <c r="D36" s="79"/>
    </row>
    <row r="37" spans="1:4" s="80" customFormat="1" ht="15.75" x14ac:dyDescent="0.25">
      <c r="A37" s="78"/>
      <c r="B37" s="79"/>
      <c r="C37" s="79"/>
      <c r="D37" s="79"/>
    </row>
    <row r="38" spans="1:4" s="80" customFormat="1" ht="15.75" x14ac:dyDescent="0.25">
      <c r="A38" s="78"/>
      <c r="B38" s="79"/>
      <c r="C38" s="79"/>
      <c r="D38" s="79"/>
    </row>
    <row r="39" spans="1:4" s="80" customFormat="1" ht="15.75" x14ac:dyDescent="0.25">
      <c r="A39" s="81" t="s">
        <v>52</v>
      </c>
      <c r="B39" s="79"/>
      <c r="C39" s="79"/>
      <c r="D39" s="79"/>
    </row>
    <row r="40" spans="1:4" s="80" customFormat="1" ht="16.5" thickBot="1" x14ac:dyDescent="0.3">
      <c r="A40" s="81"/>
      <c r="B40" s="79"/>
      <c r="C40" s="79"/>
      <c r="D40" s="61" t="s">
        <v>18</v>
      </c>
    </row>
    <row r="41" spans="1:4" s="80" customFormat="1" ht="14.25" thickTop="1" thickBot="1" x14ac:dyDescent="0.25">
      <c r="A41" s="62"/>
      <c r="B41" s="63" t="s">
        <v>0</v>
      </c>
      <c r="C41" s="64" t="s">
        <v>1</v>
      </c>
      <c r="D41" s="65" t="s">
        <v>4</v>
      </c>
    </row>
    <row r="42" spans="1:4" s="84" customFormat="1" ht="15" thickTop="1" x14ac:dyDescent="0.2">
      <c r="A42" s="82" t="s">
        <v>53</v>
      </c>
      <c r="B42" s="83">
        <f>'8c. OK 2012'!B310</f>
        <v>193383000</v>
      </c>
      <c r="C42" s="83">
        <f>'8c. OK 2012'!C310</f>
        <v>214809380.53</v>
      </c>
      <c r="D42" s="410">
        <f>'8c. OK 2012'!D310</f>
        <v>180069057.16</v>
      </c>
    </row>
    <row r="43" spans="1:4" s="84" customFormat="1" ht="14.25" x14ac:dyDescent="0.2">
      <c r="A43" s="82" t="s">
        <v>54</v>
      </c>
      <c r="B43" s="83">
        <f>'8b. KB 2012'!B387</f>
        <v>279623000</v>
      </c>
      <c r="C43" s="83">
        <f>'8b. KB 2012'!C387</f>
        <v>223417456.53000003</v>
      </c>
      <c r="D43" s="270">
        <f>'8b. KB 2012'!D387</f>
        <v>197970012.13999999</v>
      </c>
    </row>
    <row r="44" spans="1:4" s="84" customFormat="1" ht="14.25" x14ac:dyDescent="0.2">
      <c r="A44" s="82" t="s">
        <v>55</v>
      </c>
      <c r="B44" s="83">
        <f>'8a. EIB - Evropské programy'!B126</f>
        <v>495408000</v>
      </c>
      <c r="C44" s="83">
        <f>'8a. EIB - Evropské programy'!C126</f>
        <v>945246434.66999996</v>
      </c>
      <c r="D44" s="270">
        <f>'8a. EIB - Evropské programy'!D126</f>
        <v>910219929.20000005</v>
      </c>
    </row>
    <row r="45" spans="1:4" s="84" customFormat="1" ht="15" thickBot="1" x14ac:dyDescent="0.25">
      <c r="A45" s="82" t="s">
        <v>56</v>
      </c>
      <c r="B45" s="83">
        <f>'d) dotace'!B42</f>
        <v>0</v>
      </c>
      <c r="C45" s="83">
        <f>'d) dotace'!C42</f>
        <v>25687476.420000002</v>
      </c>
      <c r="D45" s="270">
        <f>'d) dotace'!D42</f>
        <v>22958591.359999999</v>
      </c>
    </row>
    <row r="46" spans="1:4" s="85" customFormat="1" ht="17.25" thickTop="1" thickBot="1" x14ac:dyDescent="0.3">
      <c r="A46" s="75" t="s">
        <v>51</v>
      </c>
      <c r="B46" s="76">
        <f>SUM(B42:B45)</f>
        <v>968414000</v>
      </c>
      <c r="C46" s="76">
        <f t="shared" ref="C46:D46" si="1">SUM(C42:C45)</f>
        <v>1409160748.1500001</v>
      </c>
      <c r="D46" s="77">
        <f t="shared" si="1"/>
        <v>1311217589.8599999</v>
      </c>
    </row>
    <row r="47" spans="1:4" s="80" customFormat="1" ht="16.5" thickTop="1" x14ac:dyDescent="0.25">
      <c r="A47" s="86"/>
      <c r="B47" s="87"/>
      <c r="C47" s="87"/>
      <c r="D47" s="87"/>
    </row>
    <row r="48" spans="1:4" s="80" customFormat="1" x14ac:dyDescent="0.2"/>
    <row r="49" spans="1:13" s="80" customFormat="1" x14ac:dyDescent="0.2"/>
    <row r="50" spans="1:13" s="88" customFormat="1" x14ac:dyDescent="0.2"/>
    <row r="51" spans="1:13" s="88" customFormat="1" x14ac:dyDescent="0.2">
      <c r="A51" s="271" t="s">
        <v>57</v>
      </c>
      <c r="B51" s="272"/>
      <c r="C51" s="272"/>
      <c r="D51" s="272"/>
      <c r="E51" s="272"/>
      <c r="F51" s="271" t="s">
        <v>58</v>
      </c>
      <c r="G51" s="272"/>
      <c r="H51" s="272"/>
      <c r="I51" s="272"/>
      <c r="J51" s="272"/>
      <c r="K51" s="272"/>
      <c r="L51" s="213"/>
      <c r="M51" s="213"/>
    </row>
    <row r="52" spans="1:13" s="88" customForma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</row>
    <row r="53" spans="1:13" s="88" customFormat="1" x14ac:dyDescent="0.2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</row>
    <row r="54" spans="1:13" s="88" customFormat="1" x14ac:dyDescent="0.2"/>
    <row r="55" spans="1:13" s="88" customFormat="1" x14ac:dyDescent="0.2"/>
    <row r="56" spans="1:13" s="88" customFormat="1" x14ac:dyDescent="0.2"/>
    <row r="57" spans="1:13" s="88" customFormat="1" x14ac:dyDescent="0.2"/>
    <row r="58" spans="1:13" s="88" customFormat="1" x14ac:dyDescent="0.2"/>
    <row r="59" spans="1:13" s="88" customFormat="1" x14ac:dyDescent="0.2"/>
    <row r="60" spans="1:13" s="88" customFormat="1" x14ac:dyDescent="0.2"/>
    <row r="61" spans="1:13" s="88" customFormat="1" x14ac:dyDescent="0.2"/>
    <row r="62" spans="1:13" s="88" customFormat="1" x14ac:dyDescent="0.2"/>
    <row r="63" spans="1:13" s="88" customFormat="1" x14ac:dyDescent="0.2"/>
    <row r="64" spans="1:13" s="88" customFormat="1" x14ac:dyDescent="0.2"/>
    <row r="65" s="88" customFormat="1" x14ac:dyDescent="0.2"/>
    <row r="66" s="88" customFormat="1" x14ac:dyDescent="0.2"/>
    <row r="67" s="88" customFormat="1" x14ac:dyDescent="0.2"/>
    <row r="68" s="88" customFormat="1" x14ac:dyDescent="0.2"/>
    <row r="69" s="88" customFormat="1" x14ac:dyDescent="0.2"/>
  </sheetData>
  <pageMargins left="0.78740157480314965" right="0.78740157480314965" top="0.98425196850393704" bottom="0.98425196850393704" header="0.51181102362204722" footer="0.51181102362204722"/>
  <pageSetup paperSize="9" scale="94" firstPageNumber="193" orientation="portrait" useFirstPageNumber="1" r:id="rId1"/>
  <headerFooter alignWithMargins="0">
    <oddFooter>&amp;L&amp;"Arial,Kurzíva"Zastupitelstvo Olomouckého kraje 28.6.2013
6.- Závěrečný účet Olomouckého kraje za rok 2012
Příloha č. 8: Přehled financování investičních akcí v roce 2012&amp;R&amp;"Arial,Kurzíva"Strana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0"/>
  <sheetViews>
    <sheetView showGridLines="0" view="pageBreakPreview" zoomScaleNormal="100" zoomScaleSheetLayoutView="100" workbookViewId="0">
      <selection activeCell="C107" sqref="C107"/>
    </sheetView>
  </sheetViews>
  <sheetFormatPr defaultRowHeight="12.75" x14ac:dyDescent="0.2"/>
  <cols>
    <col min="1" max="1" width="59.5703125" style="25" customWidth="1"/>
    <col min="2" max="2" width="17.28515625" style="228" customWidth="1"/>
    <col min="3" max="3" width="17.42578125" style="27" customWidth="1"/>
    <col min="4" max="4" width="16.85546875" style="206" customWidth="1"/>
    <col min="5" max="5" width="7.7109375" style="27" customWidth="1"/>
    <col min="6" max="6" width="14.85546875" style="23" customWidth="1"/>
    <col min="7" max="7" width="9.140625" style="23"/>
    <col min="8" max="8" width="12.28515625" style="23" customWidth="1"/>
    <col min="9" max="9" width="15.42578125" style="23" bestFit="1" customWidth="1"/>
    <col min="10" max="11" width="17.28515625" style="23" customWidth="1"/>
    <col min="12" max="16384" width="9.140625" style="23"/>
  </cols>
  <sheetData>
    <row r="1" spans="1:11" ht="18" x14ac:dyDescent="0.25">
      <c r="A1" s="17" t="s">
        <v>109</v>
      </c>
    </row>
    <row r="2" spans="1:11" ht="15" x14ac:dyDescent="0.25">
      <c r="A2" s="18" t="s">
        <v>29</v>
      </c>
    </row>
    <row r="3" spans="1:11" ht="7.5" customHeight="1" x14ac:dyDescent="0.25">
      <c r="A3" s="26"/>
    </row>
    <row r="4" spans="1:11" ht="18.75" customHeight="1" x14ac:dyDescent="0.25">
      <c r="A4" s="17" t="s">
        <v>30</v>
      </c>
    </row>
    <row r="5" spans="1:11" ht="15.75" thickBot="1" x14ac:dyDescent="0.3">
      <c r="A5" s="18" t="s">
        <v>31</v>
      </c>
      <c r="E5" s="27" t="s">
        <v>18</v>
      </c>
    </row>
    <row r="6" spans="1:11" s="28" customFormat="1" ht="16.5" thickTop="1" thickBot="1" x14ac:dyDescent="0.3">
      <c r="A6" s="274" t="s">
        <v>5</v>
      </c>
      <c r="B6" s="229" t="s">
        <v>0</v>
      </c>
      <c r="C6" s="230" t="s">
        <v>1</v>
      </c>
      <c r="D6" s="231" t="s">
        <v>4</v>
      </c>
      <c r="E6" s="215" t="s">
        <v>6</v>
      </c>
    </row>
    <row r="7" spans="1:11" ht="15.75" thickTop="1" x14ac:dyDescent="0.25">
      <c r="A7" s="276" t="s">
        <v>7</v>
      </c>
      <c r="B7" s="232">
        <f>SUM(B8:B15)</f>
        <v>213268000</v>
      </c>
      <c r="C7" s="232">
        <f>SUM(C8:C15)</f>
        <v>258935192.24000001</v>
      </c>
      <c r="D7" s="232">
        <f>SUM(D8:D15)</f>
        <v>248197800.49000001</v>
      </c>
      <c r="E7" s="216">
        <f t="shared" ref="E7:E15" si="0">D7/C7*100</f>
        <v>95.853251287662829</v>
      </c>
      <c r="F7" s="23" t="s">
        <v>22</v>
      </c>
    </row>
    <row r="8" spans="1:11" s="210" customFormat="1" ht="24" x14ac:dyDescent="0.2">
      <c r="A8" s="506" t="s">
        <v>345</v>
      </c>
      <c r="B8" s="507">
        <v>47168000</v>
      </c>
      <c r="C8" s="507">
        <v>52425300</v>
      </c>
      <c r="D8" s="507">
        <v>52415123.840000004</v>
      </c>
      <c r="E8" s="508">
        <f t="shared" si="0"/>
        <v>99.980589219327314</v>
      </c>
      <c r="F8" s="348">
        <v>100354</v>
      </c>
    </row>
    <row r="9" spans="1:11" x14ac:dyDescent="0.2">
      <c r="A9" s="509" t="s">
        <v>346</v>
      </c>
      <c r="B9" s="510">
        <v>75000000</v>
      </c>
      <c r="C9" s="510">
        <v>71645000</v>
      </c>
      <c r="D9" s="510">
        <v>68930090</v>
      </c>
      <c r="E9" s="511">
        <f t="shared" si="0"/>
        <v>96.21060785818969</v>
      </c>
      <c r="F9" s="329">
        <v>100537</v>
      </c>
    </row>
    <row r="10" spans="1:11" ht="25.5" customHeight="1" x14ac:dyDescent="0.2">
      <c r="A10" s="509" t="s">
        <v>378</v>
      </c>
      <c r="B10" s="507">
        <v>82500000</v>
      </c>
      <c r="C10" s="507">
        <v>108629916.97</v>
      </c>
      <c r="D10" s="507">
        <v>108629916.97</v>
      </c>
      <c r="E10" s="508">
        <f t="shared" si="0"/>
        <v>100</v>
      </c>
      <c r="F10" s="329">
        <v>100565</v>
      </c>
    </row>
    <row r="11" spans="1:11" s="210" customFormat="1" ht="26.25" customHeight="1" x14ac:dyDescent="0.2">
      <c r="A11" s="506" t="s">
        <v>344</v>
      </c>
      <c r="B11" s="507">
        <v>8600000</v>
      </c>
      <c r="C11" s="507">
        <v>7076600</v>
      </c>
      <c r="D11" s="507">
        <v>7076299.1299999999</v>
      </c>
      <c r="E11" s="508">
        <f t="shared" si="0"/>
        <v>99.995748381991348</v>
      </c>
      <c r="F11" s="348">
        <v>100604</v>
      </c>
    </row>
    <row r="12" spans="1:11" ht="14.25" customHeight="1" x14ac:dyDescent="0.2">
      <c r="A12" s="512" t="s">
        <v>274</v>
      </c>
      <c r="B12" s="510">
        <v>0</v>
      </c>
      <c r="C12" s="510">
        <v>3300653.53</v>
      </c>
      <c r="D12" s="510">
        <f>746474.11+2554174.7</f>
        <v>3300648.81</v>
      </c>
      <c r="E12" s="511">
        <f t="shared" si="0"/>
        <v>99.999856998016995</v>
      </c>
      <c r="F12" s="339">
        <v>100221</v>
      </c>
    </row>
    <row r="13" spans="1:11" x14ac:dyDescent="0.2">
      <c r="A13" s="512" t="s">
        <v>276</v>
      </c>
      <c r="B13" s="510">
        <v>0</v>
      </c>
      <c r="C13" s="510">
        <v>6782523.7999999998</v>
      </c>
      <c r="D13" s="510">
        <f>827349.45+5955174.35</f>
        <v>6782523.7999999998</v>
      </c>
      <c r="E13" s="511">
        <f t="shared" si="0"/>
        <v>100</v>
      </c>
      <c r="F13" s="339">
        <v>100464</v>
      </c>
    </row>
    <row r="14" spans="1:11" x14ac:dyDescent="0.2">
      <c r="A14" s="512" t="s">
        <v>275</v>
      </c>
      <c r="B14" s="510">
        <v>0</v>
      </c>
      <c r="C14" s="510">
        <v>1063197.94</v>
      </c>
      <c r="D14" s="510">
        <f>450733.57+612464.37</f>
        <v>1063197.94</v>
      </c>
      <c r="E14" s="511">
        <f t="shared" si="0"/>
        <v>100</v>
      </c>
      <c r="F14" s="339">
        <v>100471</v>
      </c>
    </row>
    <row r="15" spans="1:11" ht="13.5" thickBot="1" x14ac:dyDescent="0.25">
      <c r="A15" s="512" t="s">
        <v>363</v>
      </c>
      <c r="B15" s="510">
        <v>0</v>
      </c>
      <c r="C15" s="510">
        <v>8012000</v>
      </c>
      <c r="D15" s="510">
        <v>0</v>
      </c>
      <c r="E15" s="511">
        <f t="shared" si="0"/>
        <v>0</v>
      </c>
      <c r="F15" s="339">
        <v>100795</v>
      </c>
    </row>
    <row r="16" spans="1:11" s="28" customFormat="1" ht="15.75" thickTop="1" x14ac:dyDescent="0.25">
      <c r="A16" s="51"/>
      <c r="B16" s="233"/>
      <c r="C16" s="217"/>
      <c r="D16" s="234"/>
      <c r="E16" s="217"/>
      <c r="H16" s="331" t="s">
        <v>102</v>
      </c>
      <c r="I16" s="382">
        <f>SUM(B8:B11)</f>
        <v>213268000</v>
      </c>
      <c r="J16" s="382">
        <f t="shared" ref="J16:K16" si="1">SUM(C8:C11)</f>
        <v>239776816.97</v>
      </c>
      <c r="K16" s="382">
        <f t="shared" si="1"/>
        <v>237051429.94</v>
      </c>
    </row>
    <row r="17" spans="1:11" ht="15.75" thickBot="1" x14ac:dyDescent="0.3">
      <c r="A17" s="18" t="s">
        <v>32</v>
      </c>
      <c r="E17" s="27" t="s">
        <v>18</v>
      </c>
      <c r="H17" s="330" t="s">
        <v>416</v>
      </c>
      <c r="I17" s="383">
        <f>SUM(B12:B15)</f>
        <v>0</v>
      </c>
      <c r="J17" s="383">
        <f t="shared" ref="J17:K17" si="2">SUM(C12:C15)</f>
        <v>19158375.27</v>
      </c>
      <c r="K17" s="383">
        <f t="shared" si="2"/>
        <v>11146370.549999999</v>
      </c>
    </row>
    <row r="18" spans="1:11" s="28" customFormat="1" ht="16.5" thickTop="1" thickBot="1" x14ac:dyDescent="0.3">
      <c r="A18" s="274" t="s">
        <v>5</v>
      </c>
      <c r="B18" s="229" t="s">
        <v>0</v>
      </c>
      <c r="C18" s="230" t="s">
        <v>1</v>
      </c>
      <c r="D18" s="231" t="s">
        <v>4</v>
      </c>
      <c r="E18" s="215" t="s">
        <v>6</v>
      </c>
      <c r="H18" s="349" t="s">
        <v>371</v>
      </c>
      <c r="I18" s="384">
        <f>SUM(B19)</f>
        <v>0</v>
      </c>
      <c r="J18" s="384">
        <f t="shared" ref="J18:K18" si="3">SUM(C19)</f>
        <v>7933574.3399999999</v>
      </c>
      <c r="K18" s="384">
        <f t="shared" si="3"/>
        <v>7933574.3399999999</v>
      </c>
    </row>
    <row r="19" spans="1:11" s="28" customFormat="1" ht="15.75" thickTop="1" x14ac:dyDescent="0.25">
      <c r="A19" s="276" t="s">
        <v>7</v>
      </c>
      <c r="B19" s="232">
        <f>SUM(B20:B23)</f>
        <v>0</v>
      </c>
      <c r="C19" s="232">
        <f>SUM(C20:C23)</f>
        <v>7933574.3399999999</v>
      </c>
      <c r="D19" s="232">
        <f>SUM(D20:D23)</f>
        <v>7933574.3399999999</v>
      </c>
      <c r="E19" s="216">
        <f t="shared" ref="E19:E23" si="4">D19/C19*100</f>
        <v>100</v>
      </c>
      <c r="I19" s="381">
        <f>SUM(I16:I18)</f>
        <v>213268000</v>
      </c>
      <c r="J19" s="381">
        <f t="shared" ref="J19:K19" si="5">SUM(J16:J18)</f>
        <v>266868766.58000001</v>
      </c>
      <c r="K19" s="381">
        <f t="shared" si="5"/>
        <v>256131374.83000001</v>
      </c>
    </row>
    <row r="20" spans="1:11" s="28" customFormat="1" ht="23.25" customHeight="1" x14ac:dyDescent="0.25">
      <c r="A20" s="513" t="s">
        <v>372</v>
      </c>
      <c r="B20" s="507">
        <v>0</v>
      </c>
      <c r="C20" s="507">
        <v>666169</v>
      </c>
      <c r="D20" s="507">
        <v>666169</v>
      </c>
      <c r="E20" s="508">
        <f t="shared" si="4"/>
        <v>100</v>
      </c>
      <c r="F20" s="340">
        <v>1106</v>
      </c>
    </row>
    <row r="21" spans="1:11" s="28" customFormat="1" ht="25.5" customHeight="1" x14ac:dyDescent="0.25">
      <c r="A21" s="513" t="s">
        <v>373</v>
      </c>
      <c r="B21" s="507">
        <v>0</v>
      </c>
      <c r="C21" s="507">
        <v>1911000</v>
      </c>
      <c r="D21" s="507">
        <v>1911000</v>
      </c>
      <c r="E21" s="508">
        <f t="shared" si="4"/>
        <v>100</v>
      </c>
      <c r="F21" s="340">
        <v>1142</v>
      </c>
    </row>
    <row r="22" spans="1:11" s="28" customFormat="1" ht="22.5" customHeight="1" x14ac:dyDescent="0.25">
      <c r="A22" s="513" t="s">
        <v>374</v>
      </c>
      <c r="B22" s="507">
        <v>0</v>
      </c>
      <c r="C22" s="507">
        <v>4219133.6399999997</v>
      </c>
      <c r="D22" s="507">
        <v>4219133.6399999997</v>
      </c>
      <c r="E22" s="508">
        <f t="shared" si="4"/>
        <v>100</v>
      </c>
      <c r="F22" s="340">
        <v>1153</v>
      </c>
    </row>
    <row r="23" spans="1:11" s="28" customFormat="1" ht="23.25" customHeight="1" thickBot="1" x14ac:dyDescent="0.3">
      <c r="A23" s="513" t="s">
        <v>375</v>
      </c>
      <c r="B23" s="507">
        <v>0</v>
      </c>
      <c r="C23" s="507">
        <v>1137271.7</v>
      </c>
      <c r="D23" s="507">
        <v>1137271.7</v>
      </c>
      <c r="E23" s="508">
        <f t="shared" si="4"/>
        <v>100</v>
      </c>
      <c r="F23" s="340">
        <v>1212</v>
      </c>
    </row>
    <row r="24" spans="1:11" s="28" customFormat="1" ht="15.75" thickTop="1" x14ac:dyDescent="0.25">
      <c r="A24" s="51"/>
      <c r="B24" s="233"/>
      <c r="C24" s="217"/>
      <c r="D24" s="234"/>
      <c r="E24" s="217"/>
      <c r="F24" s="52"/>
    </row>
    <row r="25" spans="1:11" s="53" customFormat="1" ht="18.75" thickBot="1" x14ac:dyDescent="0.3">
      <c r="A25" s="54" t="s">
        <v>33</v>
      </c>
      <c r="B25" s="385">
        <f>B7+B19</f>
        <v>213268000</v>
      </c>
      <c r="C25" s="385">
        <f>C7+C19</f>
        <v>266868766.58000001</v>
      </c>
      <c r="D25" s="385">
        <f>D7+D19</f>
        <v>256131374.83000001</v>
      </c>
      <c r="E25" s="214">
        <f>D25/C25*100</f>
        <v>95.976527381752931</v>
      </c>
      <c r="F25" s="17"/>
    </row>
    <row r="26" spans="1:11" s="53" customFormat="1" ht="18.75" thickTop="1" x14ac:dyDescent="0.25">
      <c r="A26" s="55"/>
      <c r="B26" s="386"/>
      <c r="C26" s="386"/>
      <c r="D26" s="386"/>
      <c r="E26" s="218"/>
      <c r="F26" s="17"/>
    </row>
    <row r="27" spans="1:11" ht="18.75" customHeight="1" x14ac:dyDescent="0.25">
      <c r="A27" s="17" t="s">
        <v>35</v>
      </c>
    </row>
    <row r="28" spans="1:11" ht="15.75" thickBot="1" x14ac:dyDescent="0.3">
      <c r="A28" s="18" t="s">
        <v>31</v>
      </c>
      <c r="E28" s="27" t="s">
        <v>18</v>
      </c>
    </row>
    <row r="29" spans="1:11" s="28" customFormat="1" ht="16.5" thickTop="1" thickBot="1" x14ac:dyDescent="0.3">
      <c r="A29" s="274" t="s">
        <v>5</v>
      </c>
      <c r="B29" s="229" t="s">
        <v>0</v>
      </c>
      <c r="C29" s="230" t="s">
        <v>1</v>
      </c>
      <c r="D29" s="231" t="s">
        <v>4</v>
      </c>
      <c r="E29" s="215" t="s">
        <v>6</v>
      </c>
    </row>
    <row r="30" spans="1:11" s="28" customFormat="1" ht="15.75" thickTop="1" x14ac:dyDescent="0.25">
      <c r="A30" s="276" t="s">
        <v>9</v>
      </c>
      <c r="B30" s="232">
        <f>SUM(B31:B37)</f>
        <v>131382000</v>
      </c>
      <c r="C30" s="232">
        <f>SUM(C31:C37)</f>
        <v>142129671.56</v>
      </c>
      <c r="D30" s="232">
        <f>SUM(D31:D37)</f>
        <v>140387284.34</v>
      </c>
      <c r="E30" s="216">
        <f t="shared" ref="E30:E37" si="6">D30/C30*100</f>
        <v>98.774086226418632</v>
      </c>
      <c r="F30" s="30" t="s">
        <v>21</v>
      </c>
    </row>
    <row r="31" spans="1:11" x14ac:dyDescent="0.2">
      <c r="A31" s="512" t="s">
        <v>364</v>
      </c>
      <c r="B31" s="510">
        <v>0</v>
      </c>
      <c r="C31" s="510">
        <v>3036640</v>
      </c>
      <c r="D31" s="510">
        <v>2708842.8</v>
      </c>
      <c r="E31" s="511">
        <f t="shared" si="6"/>
        <v>89.205266347015112</v>
      </c>
      <c r="F31" s="339">
        <v>100123</v>
      </c>
    </row>
    <row r="32" spans="1:11" ht="26.25" customHeight="1" x14ac:dyDescent="0.2">
      <c r="A32" s="509" t="s">
        <v>623</v>
      </c>
      <c r="B32" s="507">
        <v>0</v>
      </c>
      <c r="C32" s="507">
        <v>1585031.56</v>
      </c>
      <c r="D32" s="507">
        <f>295804.46+1289227.1</f>
        <v>1585031.56</v>
      </c>
      <c r="E32" s="508">
        <f t="shared" si="6"/>
        <v>100</v>
      </c>
      <c r="F32" s="413">
        <v>100250</v>
      </c>
      <c r="H32" s="331" t="s">
        <v>102</v>
      </c>
      <c r="I32" s="382">
        <f>SUM(B33:B37)</f>
        <v>131382000</v>
      </c>
      <c r="J32" s="382">
        <f t="shared" ref="J32:K32" si="7">SUM(C33:C37)</f>
        <v>137508000</v>
      </c>
      <c r="K32" s="382">
        <f t="shared" si="7"/>
        <v>136093409.98000002</v>
      </c>
    </row>
    <row r="33" spans="1:11" x14ac:dyDescent="0.2">
      <c r="A33" s="512" t="s">
        <v>351</v>
      </c>
      <c r="B33" s="510">
        <v>12629000</v>
      </c>
      <c r="C33" s="510">
        <v>13127162.199999999</v>
      </c>
      <c r="D33" s="510">
        <v>13127162.199999999</v>
      </c>
      <c r="E33" s="511">
        <f t="shared" si="6"/>
        <v>100</v>
      </c>
      <c r="F33" s="332">
        <v>100089</v>
      </c>
      <c r="G33" s="331" t="s">
        <v>102</v>
      </c>
      <c r="H33" s="330" t="s">
        <v>416</v>
      </c>
      <c r="I33" s="383">
        <f>SUM(B31:B32)</f>
        <v>0</v>
      </c>
      <c r="J33" s="383">
        <f t="shared" ref="J33:K33" si="8">SUM(C31:C32)</f>
        <v>4621671.5600000005</v>
      </c>
      <c r="K33" s="383">
        <f t="shared" si="8"/>
        <v>4293874.3599999994</v>
      </c>
    </row>
    <row r="34" spans="1:11" x14ac:dyDescent="0.2">
      <c r="A34" s="512" t="s">
        <v>349</v>
      </c>
      <c r="B34" s="510">
        <v>87083000</v>
      </c>
      <c r="C34" s="510">
        <v>91595736.019999996</v>
      </c>
      <c r="D34" s="510">
        <v>91340098</v>
      </c>
      <c r="E34" s="511">
        <f t="shared" si="6"/>
        <v>99.72090620032337</v>
      </c>
      <c r="F34" s="332">
        <v>100328</v>
      </c>
      <c r="G34" s="331" t="s">
        <v>102</v>
      </c>
      <c r="H34" s="349" t="s">
        <v>371</v>
      </c>
      <c r="I34" s="384">
        <v>0</v>
      </c>
      <c r="J34" s="384">
        <v>0</v>
      </c>
      <c r="K34" s="384">
        <v>0</v>
      </c>
    </row>
    <row r="35" spans="1:11" ht="15" x14ac:dyDescent="0.25">
      <c r="A35" s="512" t="s">
        <v>348</v>
      </c>
      <c r="B35" s="510">
        <v>7988000</v>
      </c>
      <c r="C35" s="510">
        <v>8953680.5500000007</v>
      </c>
      <c r="D35" s="510">
        <v>8953680.5500000007</v>
      </c>
      <c r="E35" s="511">
        <f t="shared" si="6"/>
        <v>100</v>
      </c>
      <c r="F35" s="332">
        <v>100409</v>
      </c>
      <c r="G35" s="331" t="s">
        <v>102</v>
      </c>
      <c r="I35" s="381">
        <f>SUM(I32:I34)</f>
        <v>131382000</v>
      </c>
      <c r="J35" s="381">
        <f t="shared" ref="J35" si="9">SUM(J32:J34)</f>
        <v>142129671.56</v>
      </c>
      <c r="K35" s="381">
        <f t="shared" ref="K35" si="10">SUM(K32:K34)</f>
        <v>140387284.34000003</v>
      </c>
    </row>
    <row r="36" spans="1:11" x14ac:dyDescent="0.2">
      <c r="A36" s="512" t="s">
        <v>350</v>
      </c>
      <c r="B36" s="510">
        <v>19515000</v>
      </c>
      <c r="C36" s="510">
        <v>19847621.23</v>
      </c>
      <c r="D36" s="510">
        <v>19847621.23</v>
      </c>
      <c r="E36" s="511">
        <f t="shared" si="6"/>
        <v>100</v>
      </c>
      <c r="F36" s="332">
        <v>100519</v>
      </c>
      <c r="G36" s="331" t="s">
        <v>102</v>
      </c>
    </row>
    <row r="37" spans="1:11" ht="13.5" thickBot="1" x14ac:dyDescent="0.25">
      <c r="A37" s="512" t="s">
        <v>347</v>
      </c>
      <c r="B37" s="510">
        <v>4167000</v>
      </c>
      <c r="C37" s="510">
        <v>3983800</v>
      </c>
      <c r="D37" s="510">
        <v>2824848</v>
      </c>
      <c r="E37" s="511">
        <f t="shared" si="6"/>
        <v>70.908378934685473</v>
      </c>
      <c r="F37" s="332">
        <v>100540</v>
      </c>
      <c r="G37" s="331" t="s">
        <v>102</v>
      </c>
    </row>
    <row r="38" spans="1:11" s="28" customFormat="1" ht="15.75" thickTop="1" x14ac:dyDescent="0.25">
      <c r="A38" s="51"/>
      <c r="B38" s="233"/>
      <c r="C38" s="217"/>
      <c r="D38" s="234"/>
      <c r="E38" s="217"/>
      <c r="F38" s="52"/>
    </row>
    <row r="39" spans="1:11" s="53" customFormat="1" ht="18.75" thickBot="1" x14ac:dyDescent="0.3">
      <c r="A39" s="54" t="s">
        <v>34</v>
      </c>
      <c r="B39" s="385">
        <f>B30</f>
        <v>131382000</v>
      </c>
      <c r="C39" s="385">
        <f t="shared" ref="C39:D39" si="11">C30</f>
        <v>142129671.56</v>
      </c>
      <c r="D39" s="385">
        <f t="shared" si="11"/>
        <v>140387284.34</v>
      </c>
      <c r="E39" s="214">
        <f>D39/C39*100</f>
        <v>98.774086226418632</v>
      </c>
      <c r="F39" s="17"/>
    </row>
    <row r="40" spans="1:11" s="28" customFormat="1" ht="15.75" thickTop="1" x14ac:dyDescent="0.25">
      <c r="A40" s="51"/>
      <c r="B40" s="233"/>
      <c r="C40" s="217"/>
      <c r="D40" s="234"/>
      <c r="E40" s="217"/>
      <c r="F40" s="52"/>
    </row>
    <row r="41" spans="1:11" ht="15.75" customHeight="1" x14ac:dyDescent="0.25">
      <c r="A41" s="17" t="s">
        <v>36</v>
      </c>
    </row>
    <row r="42" spans="1:11" ht="15.75" thickBot="1" x14ac:dyDescent="0.3">
      <c r="A42" s="18" t="s">
        <v>31</v>
      </c>
      <c r="E42" s="27" t="s">
        <v>18</v>
      </c>
    </row>
    <row r="43" spans="1:11" s="28" customFormat="1" ht="16.5" thickTop="1" thickBot="1" x14ac:dyDescent="0.3">
      <c r="A43" s="274" t="s">
        <v>5</v>
      </c>
      <c r="B43" s="229" t="s">
        <v>0</v>
      </c>
      <c r="C43" s="230" t="s">
        <v>1</v>
      </c>
      <c r="D43" s="231" t="s">
        <v>4</v>
      </c>
      <c r="E43" s="215" t="s">
        <v>6</v>
      </c>
    </row>
    <row r="44" spans="1:11" ht="15.75" thickTop="1" x14ac:dyDescent="0.25">
      <c r="A44" s="276" t="s">
        <v>8</v>
      </c>
      <c r="B44" s="232">
        <f>SUM(B45:B45)</f>
        <v>11667000</v>
      </c>
      <c r="C44" s="232">
        <f>SUM(C45:C45)</f>
        <v>13836167</v>
      </c>
      <c r="D44" s="232">
        <f>SUM(D45:D45)</f>
        <v>13783231</v>
      </c>
      <c r="E44" s="216">
        <f>D44/C44*100</f>
        <v>99.617408491817145</v>
      </c>
      <c r="F44" s="23" t="s">
        <v>23</v>
      </c>
    </row>
    <row r="45" spans="1:11" s="210" customFormat="1" ht="28.5" customHeight="1" thickBot="1" x14ac:dyDescent="0.25">
      <c r="A45" s="514" t="s">
        <v>352</v>
      </c>
      <c r="B45" s="507">
        <v>11667000</v>
      </c>
      <c r="C45" s="507">
        <v>13836167</v>
      </c>
      <c r="D45" s="507">
        <v>13783231</v>
      </c>
      <c r="E45" s="508">
        <f>D45/C45*100</f>
        <v>99.617408491817145</v>
      </c>
      <c r="F45" s="333">
        <v>100657</v>
      </c>
      <c r="H45" s="331" t="s">
        <v>102</v>
      </c>
      <c r="I45" s="382">
        <f>SUM(B45)</f>
        <v>11667000</v>
      </c>
      <c r="J45" s="382">
        <f t="shared" ref="J45:K45" si="12">SUM(C45)</f>
        <v>13836167</v>
      </c>
      <c r="K45" s="382">
        <f t="shared" si="12"/>
        <v>13783231</v>
      </c>
    </row>
    <row r="46" spans="1:11" s="28" customFormat="1" ht="15.75" thickTop="1" x14ac:dyDescent="0.25">
      <c r="A46" s="51"/>
      <c r="B46" s="233"/>
      <c r="C46" s="217"/>
      <c r="D46" s="234"/>
      <c r="E46" s="217"/>
      <c r="F46" s="52"/>
      <c r="H46" s="330" t="s">
        <v>416</v>
      </c>
      <c r="I46" s="383">
        <v>0</v>
      </c>
      <c r="J46" s="383">
        <v>0</v>
      </c>
      <c r="K46" s="383">
        <v>0</v>
      </c>
    </row>
    <row r="47" spans="1:11" ht="15.75" thickBot="1" x14ac:dyDescent="0.3">
      <c r="A47" s="341" t="s">
        <v>32</v>
      </c>
      <c r="E47" s="27" t="s">
        <v>18</v>
      </c>
      <c r="H47" s="349" t="s">
        <v>371</v>
      </c>
      <c r="I47" s="384">
        <f>SUM(B50)</f>
        <v>0</v>
      </c>
      <c r="J47" s="384">
        <f t="shared" ref="J47:K47" si="13">SUM(C50)</f>
        <v>367823.65</v>
      </c>
      <c r="K47" s="384">
        <f t="shared" si="13"/>
        <v>367823.65</v>
      </c>
    </row>
    <row r="48" spans="1:11" s="28" customFormat="1" ht="16.5" thickTop="1" thickBot="1" x14ac:dyDescent="0.3">
      <c r="A48" s="274" t="s">
        <v>5</v>
      </c>
      <c r="B48" s="229" t="s">
        <v>0</v>
      </c>
      <c r="C48" s="230" t="s">
        <v>1</v>
      </c>
      <c r="D48" s="231" t="s">
        <v>4</v>
      </c>
      <c r="E48" s="215" t="s">
        <v>6</v>
      </c>
      <c r="H48" s="23"/>
      <c r="I48" s="381">
        <f>SUM(I45:I47)</f>
        <v>11667000</v>
      </c>
      <c r="J48" s="381">
        <f t="shared" ref="J48" si="14">SUM(J45:J47)</f>
        <v>14203990.65</v>
      </c>
      <c r="K48" s="381">
        <f t="shared" ref="K48" si="15">SUM(K45:K47)</f>
        <v>14151054.65</v>
      </c>
    </row>
    <row r="49" spans="1:6" s="28" customFormat="1" ht="15.75" thickTop="1" x14ac:dyDescent="0.25">
      <c r="A49" s="276" t="s">
        <v>8</v>
      </c>
      <c r="B49" s="232">
        <f>SUM(B50:B50)</f>
        <v>0</v>
      </c>
      <c r="C49" s="232">
        <f>SUM(C50:C50)</f>
        <v>367823.65</v>
      </c>
      <c r="D49" s="232">
        <f>SUM(D50:D50)</f>
        <v>367823.65</v>
      </c>
      <c r="E49" s="216">
        <f>D49/C49*100</f>
        <v>100</v>
      </c>
    </row>
    <row r="50" spans="1:6" s="335" customFormat="1" ht="15.75" thickBot="1" x14ac:dyDescent="0.25">
      <c r="A50" s="515" t="s">
        <v>495</v>
      </c>
      <c r="B50" s="516">
        <v>0</v>
      </c>
      <c r="C50" s="516">
        <v>367823.65</v>
      </c>
      <c r="D50" s="516">
        <v>367823.65</v>
      </c>
      <c r="E50" s="517">
        <f>D50/C50*100</f>
        <v>100</v>
      </c>
      <c r="F50" s="350">
        <v>1601</v>
      </c>
    </row>
    <row r="51" spans="1:6" s="28" customFormat="1" ht="9" customHeight="1" thickTop="1" x14ac:dyDescent="0.25">
      <c r="A51" s="277"/>
      <c r="B51" s="265"/>
      <c r="C51" s="265"/>
      <c r="D51" s="265"/>
      <c r="E51" s="342"/>
      <c r="F51" s="340"/>
    </row>
    <row r="52" spans="1:6" s="53" customFormat="1" ht="18.75" thickBot="1" x14ac:dyDescent="0.3">
      <c r="A52" s="54" t="s">
        <v>37</v>
      </c>
      <c r="B52" s="385">
        <f>B44+B49</f>
        <v>11667000</v>
      </c>
      <c r="C52" s="385">
        <f t="shared" ref="C52:D52" si="16">C44+C49</f>
        <v>14203990.65</v>
      </c>
      <c r="D52" s="385">
        <f t="shared" si="16"/>
        <v>14151054.65</v>
      </c>
      <c r="E52" s="214">
        <f>D52/C52*100</f>
        <v>99.627316003619029</v>
      </c>
      <c r="F52" s="17"/>
    </row>
    <row r="53" spans="1:6" s="28" customFormat="1" ht="8.25" customHeight="1" thickTop="1" x14ac:dyDescent="0.25">
      <c r="A53" s="51"/>
      <c r="B53" s="233"/>
      <c r="C53" s="217"/>
      <c r="D53" s="234"/>
      <c r="E53" s="217"/>
      <c r="F53" s="52"/>
    </row>
    <row r="54" spans="1:6" ht="15" customHeight="1" x14ac:dyDescent="0.25">
      <c r="A54" s="17" t="s">
        <v>43</v>
      </c>
    </row>
    <row r="55" spans="1:6" ht="15.75" thickBot="1" x14ac:dyDescent="0.3">
      <c r="A55" s="18" t="s">
        <v>31</v>
      </c>
      <c r="E55" s="27" t="s">
        <v>18</v>
      </c>
    </row>
    <row r="56" spans="1:6" s="28" customFormat="1" ht="16.5" thickTop="1" thickBot="1" x14ac:dyDescent="0.3">
      <c r="A56" s="274" t="s">
        <v>5</v>
      </c>
      <c r="B56" s="229" t="s">
        <v>0</v>
      </c>
      <c r="C56" s="230" t="s">
        <v>1</v>
      </c>
      <c r="D56" s="231" t="s">
        <v>4</v>
      </c>
      <c r="E56" s="215" t="s">
        <v>6</v>
      </c>
    </row>
    <row r="57" spans="1:6" ht="15.75" thickTop="1" x14ac:dyDescent="0.25">
      <c r="A57" s="275" t="s">
        <v>11</v>
      </c>
      <c r="B57" s="29">
        <f>SUM(B58:B73)</f>
        <v>70842000</v>
      </c>
      <c r="C57" s="29">
        <f t="shared" ref="C57:D57" si="17">SUM(C58:C73)</f>
        <v>392762959.00999999</v>
      </c>
      <c r="D57" s="29">
        <f t="shared" si="17"/>
        <v>380821436.39000005</v>
      </c>
      <c r="E57" s="219">
        <f t="shared" ref="E57:E73" si="18">D57/C57*100</f>
        <v>96.959610791684682</v>
      </c>
      <c r="F57" s="23" t="s">
        <v>19</v>
      </c>
    </row>
    <row r="58" spans="1:6" x14ac:dyDescent="0.2">
      <c r="A58" s="512" t="s">
        <v>356</v>
      </c>
      <c r="B58" s="510">
        <v>0</v>
      </c>
      <c r="C58" s="510">
        <v>166349259</v>
      </c>
      <c r="D58" s="510">
        <v>163190552.13</v>
      </c>
      <c r="E58" s="511">
        <f t="shared" si="18"/>
        <v>98.101159639069991</v>
      </c>
      <c r="F58" s="336">
        <v>100027</v>
      </c>
    </row>
    <row r="59" spans="1:6" x14ac:dyDescent="0.2">
      <c r="A59" s="512" t="s">
        <v>357</v>
      </c>
      <c r="B59" s="510">
        <v>0</v>
      </c>
      <c r="C59" s="510">
        <v>5873218</v>
      </c>
      <c r="D59" s="510">
        <v>5872253.7999999998</v>
      </c>
      <c r="E59" s="511">
        <f t="shared" si="18"/>
        <v>99.983583105547922</v>
      </c>
      <c r="F59" s="337">
        <v>100050</v>
      </c>
    </row>
    <row r="60" spans="1:6" x14ac:dyDescent="0.2">
      <c r="A60" s="512" t="s">
        <v>358</v>
      </c>
      <c r="B60" s="510">
        <v>0</v>
      </c>
      <c r="C60" s="510">
        <v>106464478</v>
      </c>
      <c r="D60" s="510">
        <v>102811496.23999999</v>
      </c>
      <c r="E60" s="511">
        <f t="shared" si="18"/>
        <v>96.568825744864867</v>
      </c>
      <c r="F60" s="337">
        <v>100060</v>
      </c>
    </row>
    <row r="61" spans="1:6" x14ac:dyDescent="0.2">
      <c r="A61" s="512" t="s">
        <v>360</v>
      </c>
      <c r="B61" s="510">
        <v>0</v>
      </c>
      <c r="C61" s="510">
        <v>30569294.34</v>
      </c>
      <c r="D61" s="510">
        <v>29164128.07</v>
      </c>
      <c r="E61" s="511">
        <f t="shared" si="18"/>
        <v>95.40334083485422</v>
      </c>
      <c r="F61" s="337">
        <v>100065</v>
      </c>
    </row>
    <row r="62" spans="1:6" ht="13.5" thickBot="1" x14ac:dyDescent="0.25">
      <c r="A62" s="518" t="s">
        <v>361</v>
      </c>
      <c r="B62" s="519">
        <v>0</v>
      </c>
      <c r="C62" s="519">
        <v>30606828.899999999</v>
      </c>
      <c r="D62" s="519">
        <v>30037763.52</v>
      </c>
      <c r="E62" s="520">
        <f t="shared" si="18"/>
        <v>98.14072414408146</v>
      </c>
      <c r="F62" s="338">
        <v>100149</v>
      </c>
    </row>
    <row r="63" spans="1:6" ht="16.5" thickTop="1" thickBot="1" x14ac:dyDescent="0.3">
      <c r="A63" s="18"/>
      <c r="E63" s="27" t="s">
        <v>18</v>
      </c>
    </row>
    <row r="64" spans="1:6" s="28" customFormat="1" ht="16.5" thickTop="1" thickBot="1" x14ac:dyDescent="0.3">
      <c r="A64" s="274" t="s">
        <v>5</v>
      </c>
      <c r="B64" s="229" t="s">
        <v>0</v>
      </c>
      <c r="C64" s="230" t="s">
        <v>1</v>
      </c>
      <c r="D64" s="231" t="s">
        <v>4</v>
      </c>
      <c r="E64" s="215" t="s">
        <v>6</v>
      </c>
    </row>
    <row r="65" spans="1:11" ht="13.5" thickTop="1" x14ac:dyDescent="0.2">
      <c r="A65" s="512" t="s">
        <v>362</v>
      </c>
      <c r="B65" s="510">
        <v>0</v>
      </c>
      <c r="C65" s="510">
        <v>20900000</v>
      </c>
      <c r="D65" s="510">
        <v>18385423</v>
      </c>
      <c r="E65" s="511">
        <f t="shared" si="18"/>
        <v>87.968531100478458</v>
      </c>
      <c r="F65" s="338">
        <v>100171</v>
      </c>
    </row>
    <row r="66" spans="1:11" x14ac:dyDescent="0.2">
      <c r="A66" s="512" t="s">
        <v>359</v>
      </c>
      <c r="B66" s="510">
        <v>0</v>
      </c>
      <c r="C66" s="510">
        <v>7727879.6100000003</v>
      </c>
      <c r="D66" s="510">
        <v>7707879.6100000003</v>
      </c>
      <c r="E66" s="511">
        <f t="shared" si="18"/>
        <v>99.741196796413348</v>
      </c>
      <c r="F66" s="338">
        <v>100489</v>
      </c>
    </row>
    <row r="67" spans="1:11" x14ac:dyDescent="0.2">
      <c r="A67" s="512" t="s">
        <v>607</v>
      </c>
      <c r="B67" s="510">
        <v>0</v>
      </c>
      <c r="C67" s="510">
        <v>1000000</v>
      </c>
      <c r="D67" s="510">
        <v>672570</v>
      </c>
      <c r="E67" s="511">
        <f t="shared" si="18"/>
        <v>67.257000000000005</v>
      </c>
      <c r="F67" s="336">
        <v>100535</v>
      </c>
    </row>
    <row r="68" spans="1:11" x14ac:dyDescent="0.2">
      <c r="A68" s="512" t="s">
        <v>270</v>
      </c>
      <c r="B68" s="510">
        <v>4167000</v>
      </c>
      <c r="C68" s="510">
        <v>0</v>
      </c>
      <c r="D68" s="510">
        <v>0</v>
      </c>
      <c r="E68" s="511">
        <v>0</v>
      </c>
      <c r="F68" s="332">
        <v>100289</v>
      </c>
    </row>
    <row r="69" spans="1:11" x14ac:dyDescent="0.2">
      <c r="A69" s="512" t="s">
        <v>353</v>
      </c>
      <c r="B69" s="510">
        <v>25000000</v>
      </c>
      <c r="C69" s="510">
        <v>0</v>
      </c>
      <c r="D69" s="510">
        <v>0</v>
      </c>
      <c r="E69" s="511">
        <v>0</v>
      </c>
      <c r="F69" s="332">
        <v>100532</v>
      </c>
    </row>
    <row r="70" spans="1:11" x14ac:dyDescent="0.2">
      <c r="A70" s="512" t="s">
        <v>622</v>
      </c>
      <c r="B70" s="510">
        <v>16667000</v>
      </c>
      <c r="C70" s="510">
        <v>67000</v>
      </c>
      <c r="D70" s="510">
        <v>30000</v>
      </c>
      <c r="E70" s="511">
        <f t="shared" si="18"/>
        <v>44.776119402985074</v>
      </c>
      <c r="F70" s="332">
        <v>100534</v>
      </c>
    </row>
    <row r="71" spans="1:11" x14ac:dyDescent="0.2">
      <c r="A71" s="512" t="s">
        <v>354</v>
      </c>
      <c r="B71" s="510">
        <v>7500000</v>
      </c>
      <c r="C71" s="510">
        <v>7063809.1600000001</v>
      </c>
      <c r="D71" s="510">
        <v>7063809.1600000001</v>
      </c>
      <c r="E71" s="511">
        <f t="shared" si="18"/>
        <v>100</v>
      </c>
      <c r="F71" s="332">
        <v>100644</v>
      </c>
    </row>
    <row r="72" spans="1:11" x14ac:dyDescent="0.2">
      <c r="A72" s="521" t="s">
        <v>266</v>
      </c>
      <c r="B72" s="510">
        <v>12500000</v>
      </c>
      <c r="C72" s="510">
        <v>6413000</v>
      </c>
      <c r="D72" s="510">
        <v>6192847.3600000003</v>
      </c>
      <c r="E72" s="511">
        <f t="shared" si="18"/>
        <v>96.567088102292217</v>
      </c>
      <c r="F72" s="332">
        <v>100647</v>
      </c>
    </row>
    <row r="73" spans="1:11" ht="13.5" thickBot="1" x14ac:dyDescent="0.25">
      <c r="A73" s="518" t="s">
        <v>454</v>
      </c>
      <c r="B73" s="519">
        <v>5008000</v>
      </c>
      <c r="C73" s="519">
        <v>9728192</v>
      </c>
      <c r="D73" s="519">
        <v>9692713.5</v>
      </c>
      <c r="E73" s="520">
        <f t="shared" si="18"/>
        <v>99.635302222653493</v>
      </c>
      <c r="F73" s="332">
        <v>100697</v>
      </c>
    </row>
    <row r="74" spans="1:11" ht="13.5" thickTop="1" x14ac:dyDescent="0.2"/>
    <row r="75" spans="1:11" s="28" customFormat="1" ht="15.75" thickBot="1" x14ac:dyDescent="0.3">
      <c r="A75" s="18" t="s">
        <v>39</v>
      </c>
      <c r="B75" s="228"/>
      <c r="C75" s="27"/>
      <c r="D75" s="228"/>
      <c r="E75" s="27" t="s">
        <v>18</v>
      </c>
      <c r="H75" s="331" t="s">
        <v>102</v>
      </c>
      <c r="I75" s="382">
        <f>SUM(B68:B73)</f>
        <v>70842000</v>
      </c>
      <c r="J75" s="382">
        <f t="shared" ref="J75:K75" si="19">SUM(C68:C73)</f>
        <v>23272001.16</v>
      </c>
      <c r="K75" s="382">
        <f t="shared" si="19"/>
        <v>22979370.02</v>
      </c>
    </row>
    <row r="76" spans="1:11" ht="14.25" thickTop="1" thickBot="1" x14ac:dyDescent="0.25">
      <c r="A76" s="274" t="s">
        <v>5</v>
      </c>
      <c r="B76" s="229" t="s">
        <v>0</v>
      </c>
      <c r="C76" s="230" t="s">
        <v>1</v>
      </c>
      <c r="D76" s="231" t="s">
        <v>4</v>
      </c>
      <c r="E76" s="215" t="s">
        <v>6</v>
      </c>
      <c r="H76" s="330" t="s">
        <v>558</v>
      </c>
      <c r="I76" s="383">
        <f>SUM(B58:B67)</f>
        <v>0</v>
      </c>
      <c r="J76" s="383">
        <f t="shared" ref="J76:K76" si="20">SUM(C58:C67)</f>
        <v>369490957.84999996</v>
      </c>
      <c r="K76" s="383">
        <f t="shared" si="20"/>
        <v>357842066.37</v>
      </c>
    </row>
    <row r="77" spans="1:11" s="31" customFormat="1" ht="15.75" thickTop="1" x14ac:dyDescent="0.25">
      <c r="A77" s="56" t="s">
        <v>458</v>
      </c>
      <c r="B77" s="232">
        <f>SUM(B78:B82)</f>
        <v>50666000</v>
      </c>
      <c r="C77" s="232">
        <f>SUM(C78:C82)</f>
        <v>50666000</v>
      </c>
      <c r="D77" s="232">
        <f>SUM(D78:D82)</f>
        <v>50666000</v>
      </c>
      <c r="E77" s="219">
        <f>D77/C77*100</f>
        <v>100</v>
      </c>
      <c r="H77" s="349" t="s">
        <v>371</v>
      </c>
      <c r="I77" s="384">
        <f>B77</f>
        <v>50666000</v>
      </c>
      <c r="J77" s="384">
        <f t="shared" ref="J77:K77" si="21">C77</f>
        <v>50666000</v>
      </c>
      <c r="K77" s="384">
        <f t="shared" si="21"/>
        <v>50666000</v>
      </c>
    </row>
    <row r="78" spans="1:11" ht="15" x14ac:dyDescent="0.25">
      <c r="A78" s="441" t="s">
        <v>459</v>
      </c>
      <c r="B78" s="510">
        <v>14833000</v>
      </c>
      <c r="C78" s="510">
        <v>14833000</v>
      </c>
      <c r="D78" s="510">
        <v>14833000</v>
      </c>
      <c r="E78" s="511">
        <v>0</v>
      </c>
      <c r="I78" s="381">
        <f>SUM(I75:I77)</f>
        <v>121508000</v>
      </c>
      <c r="J78" s="381">
        <f t="shared" ref="J78" si="22">SUM(J75:J77)</f>
        <v>443428959.00999999</v>
      </c>
      <c r="K78" s="381">
        <f t="shared" ref="K78" si="23">SUM(K75:K77)</f>
        <v>431487436.38999999</v>
      </c>
    </row>
    <row r="79" spans="1:11" x14ac:dyDescent="0.2">
      <c r="A79" s="441" t="s">
        <v>460</v>
      </c>
      <c r="B79" s="510">
        <v>12500000</v>
      </c>
      <c r="C79" s="510">
        <v>12500000</v>
      </c>
      <c r="D79" s="510">
        <v>12500000</v>
      </c>
      <c r="E79" s="511">
        <v>0</v>
      </c>
    </row>
    <row r="80" spans="1:11" x14ac:dyDescent="0.2">
      <c r="A80" s="441" t="s">
        <v>461</v>
      </c>
      <c r="B80" s="510">
        <v>8333000</v>
      </c>
      <c r="C80" s="510">
        <v>8333000</v>
      </c>
      <c r="D80" s="510">
        <v>8333000</v>
      </c>
      <c r="E80" s="511">
        <f t="shared" ref="E80:E82" si="24">D80/C80*100</f>
        <v>100</v>
      </c>
      <c r="F80" s="32"/>
    </row>
    <row r="81" spans="1:11" x14ac:dyDescent="0.2">
      <c r="A81" s="522" t="s">
        <v>462</v>
      </c>
      <c r="B81" s="510">
        <v>833000</v>
      </c>
      <c r="C81" s="510">
        <v>833000</v>
      </c>
      <c r="D81" s="510">
        <v>833000</v>
      </c>
      <c r="E81" s="511">
        <f t="shared" si="24"/>
        <v>100</v>
      </c>
    </row>
    <row r="82" spans="1:11" ht="13.5" thickBot="1" x14ac:dyDescent="0.25">
      <c r="A82" s="523" t="s">
        <v>463</v>
      </c>
      <c r="B82" s="519">
        <v>14167000</v>
      </c>
      <c r="C82" s="519">
        <v>14167000</v>
      </c>
      <c r="D82" s="519">
        <v>14167000</v>
      </c>
      <c r="E82" s="520">
        <f t="shared" si="24"/>
        <v>100</v>
      </c>
      <c r="F82" s="24"/>
    </row>
    <row r="83" spans="1:11" ht="13.5" thickTop="1" x14ac:dyDescent="0.2">
      <c r="A83" s="387"/>
      <c r="B83" s="265"/>
      <c r="C83" s="265"/>
      <c r="D83" s="265"/>
      <c r="E83" s="342"/>
    </row>
    <row r="84" spans="1:11" s="53" customFormat="1" ht="18.75" thickBot="1" x14ac:dyDescent="0.3">
      <c r="A84" s="54" t="s">
        <v>41</v>
      </c>
      <c r="B84" s="385">
        <f>+B77+B57</f>
        <v>121508000</v>
      </c>
      <c r="C84" s="385">
        <f>+C77+C57</f>
        <v>443428959.00999999</v>
      </c>
      <c r="D84" s="385">
        <f>+D77+D57</f>
        <v>431487436.39000005</v>
      </c>
      <c r="E84" s="214">
        <f>D84/C84*100</f>
        <v>97.307004340298249</v>
      </c>
      <c r="F84" s="17"/>
    </row>
    <row r="85" spans="1:11" s="53" customFormat="1" ht="18.75" thickTop="1" x14ac:dyDescent="0.25">
      <c r="A85" s="55"/>
      <c r="B85" s="386"/>
      <c r="C85" s="386"/>
      <c r="D85" s="386"/>
      <c r="E85" s="218"/>
      <c r="F85" s="17"/>
    </row>
    <row r="86" spans="1:11" ht="18.75" customHeight="1" x14ac:dyDescent="0.25">
      <c r="A86" s="17" t="s">
        <v>44</v>
      </c>
    </row>
    <row r="87" spans="1:11" ht="15.75" thickBot="1" x14ac:dyDescent="0.3">
      <c r="A87" s="18" t="s">
        <v>31</v>
      </c>
      <c r="E87" s="27" t="s">
        <v>18</v>
      </c>
    </row>
    <row r="88" spans="1:11" s="28" customFormat="1" ht="16.5" thickTop="1" thickBot="1" x14ac:dyDescent="0.3">
      <c r="A88" s="274" t="s">
        <v>5</v>
      </c>
      <c r="B88" s="229" t="s">
        <v>0</v>
      </c>
      <c r="C88" s="230" t="s">
        <v>1</v>
      </c>
      <c r="D88" s="231" t="s">
        <v>4</v>
      </c>
      <c r="E88" s="215" t="s">
        <v>6</v>
      </c>
    </row>
    <row r="89" spans="1:11" s="28" customFormat="1" ht="15.75" thickTop="1" x14ac:dyDescent="0.25">
      <c r="A89" s="34" t="s">
        <v>10</v>
      </c>
      <c r="B89" s="232">
        <f>SUM(B90:B92)</f>
        <v>17583000</v>
      </c>
      <c r="C89" s="232">
        <f t="shared" ref="C89:D89" si="25">SUM(C90:C92)</f>
        <v>67318772</v>
      </c>
      <c r="D89" s="232">
        <f t="shared" si="25"/>
        <v>56826504.120000005</v>
      </c>
      <c r="E89" s="216">
        <f>D89/C89*100</f>
        <v>84.414053363896784</v>
      </c>
      <c r="F89" s="30" t="s">
        <v>20</v>
      </c>
    </row>
    <row r="90" spans="1:11" s="335" customFormat="1" ht="25.5" x14ac:dyDescent="0.2">
      <c r="A90" s="524" t="s">
        <v>355</v>
      </c>
      <c r="B90" s="476">
        <v>17583000</v>
      </c>
      <c r="C90" s="476">
        <v>17908000</v>
      </c>
      <c r="D90" s="476">
        <v>17771112.920000002</v>
      </c>
      <c r="E90" s="491">
        <f>D90/C90*100</f>
        <v>99.235609336609343</v>
      </c>
      <c r="F90" s="334">
        <v>100653</v>
      </c>
    </row>
    <row r="91" spans="1:11" ht="24" x14ac:dyDescent="0.2">
      <c r="A91" s="509" t="s">
        <v>365</v>
      </c>
      <c r="B91" s="507">
        <v>0</v>
      </c>
      <c r="C91" s="507">
        <v>38410772</v>
      </c>
      <c r="D91" s="507">
        <f>9164595.75+1581586+27493787.25</f>
        <v>38239969</v>
      </c>
      <c r="E91" s="508">
        <f>D91/C91*100</f>
        <v>99.555325261361588</v>
      </c>
      <c r="F91" s="336">
        <v>100660</v>
      </c>
    </row>
    <row r="92" spans="1:11" ht="24.75" thickBot="1" x14ac:dyDescent="0.25">
      <c r="A92" s="509" t="s">
        <v>366</v>
      </c>
      <c r="B92" s="507">
        <v>0</v>
      </c>
      <c r="C92" s="507">
        <v>11000000</v>
      </c>
      <c r="D92" s="507">
        <f>193937.25+39673.2+581811.75</f>
        <v>815422.2</v>
      </c>
      <c r="E92" s="508">
        <f>D92/C92*100</f>
        <v>7.4129290909090901</v>
      </c>
      <c r="F92" s="339">
        <v>100670</v>
      </c>
      <c r="H92" s="331" t="s">
        <v>102</v>
      </c>
      <c r="I92" s="382">
        <f>B90</f>
        <v>17583000</v>
      </c>
      <c r="J92" s="382">
        <f t="shared" ref="J92:K92" si="26">C90</f>
        <v>17908000</v>
      </c>
      <c r="K92" s="382">
        <f t="shared" si="26"/>
        <v>17771112.920000002</v>
      </c>
    </row>
    <row r="93" spans="1:11" s="28" customFormat="1" ht="15.75" thickTop="1" x14ac:dyDescent="0.25">
      <c r="A93" s="51"/>
      <c r="B93" s="233"/>
      <c r="C93" s="217"/>
      <c r="D93" s="234"/>
      <c r="E93" s="217"/>
      <c r="F93" s="52"/>
      <c r="H93" s="330" t="s">
        <v>416</v>
      </c>
      <c r="I93" s="383">
        <f>SUM(B91:B92)</f>
        <v>0</v>
      </c>
      <c r="J93" s="383">
        <f t="shared" ref="J93:K93" si="27">SUM(C91:C92)</f>
        <v>49410772</v>
      </c>
      <c r="K93" s="383">
        <f t="shared" si="27"/>
        <v>39055391.200000003</v>
      </c>
    </row>
    <row r="94" spans="1:11" ht="15.75" thickBot="1" x14ac:dyDescent="0.3">
      <c r="A94" s="18" t="s">
        <v>32</v>
      </c>
      <c r="E94" s="27" t="s">
        <v>18</v>
      </c>
      <c r="H94" s="349" t="s">
        <v>371</v>
      </c>
      <c r="I94" s="384">
        <f>B96</f>
        <v>0</v>
      </c>
      <c r="J94" s="384">
        <f t="shared" ref="J94:K94" si="28">C96</f>
        <v>1036465</v>
      </c>
      <c r="K94" s="384">
        <f t="shared" si="28"/>
        <v>1036465</v>
      </c>
    </row>
    <row r="95" spans="1:11" s="28" customFormat="1" ht="16.5" thickTop="1" thickBot="1" x14ac:dyDescent="0.3">
      <c r="A95" s="274" t="s">
        <v>5</v>
      </c>
      <c r="B95" s="229" t="s">
        <v>0</v>
      </c>
      <c r="C95" s="230" t="s">
        <v>1</v>
      </c>
      <c r="D95" s="231" t="s">
        <v>4</v>
      </c>
      <c r="E95" s="215" t="s">
        <v>6</v>
      </c>
      <c r="H95" s="23"/>
      <c r="I95" s="381">
        <f>SUM(I92:I94)</f>
        <v>17583000</v>
      </c>
      <c r="J95" s="381">
        <f t="shared" ref="J95" si="29">SUM(J92:J94)</f>
        <v>68355237</v>
      </c>
      <c r="K95" s="381">
        <f t="shared" ref="K95" si="30">SUM(K92:K94)</f>
        <v>57862969.120000005</v>
      </c>
    </row>
    <row r="96" spans="1:11" s="28" customFormat="1" ht="15.75" thickTop="1" x14ac:dyDescent="0.25">
      <c r="A96" s="276" t="s">
        <v>10</v>
      </c>
      <c r="B96" s="232">
        <f>SUM(B97:B98)</f>
        <v>0</v>
      </c>
      <c r="C96" s="232">
        <f t="shared" ref="C96:D96" si="31">SUM(C97:C98)</f>
        <v>1036465</v>
      </c>
      <c r="D96" s="232">
        <f t="shared" si="31"/>
        <v>1036465</v>
      </c>
      <c r="E96" s="216">
        <f>D96/C96*100</f>
        <v>100</v>
      </c>
    </row>
    <row r="97" spans="1:11" s="28" customFormat="1" ht="15" x14ac:dyDescent="0.25">
      <c r="A97" s="501" t="s">
        <v>496</v>
      </c>
      <c r="B97" s="476">
        <v>0</v>
      </c>
      <c r="C97" s="476">
        <v>322809</v>
      </c>
      <c r="D97" s="476">
        <v>322809</v>
      </c>
      <c r="E97" s="508">
        <f>D97/C97*100</f>
        <v>100</v>
      </c>
    </row>
    <row r="98" spans="1:11" s="28" customFormat="1" ht="26.25" customHeight="1" thickBot="1" x14ac:dyDescent="0.3">
      <c r="A98" s="506" t="s">
        <v>497</v>
      </c>
      <c r="B98" s="507">
        <v>0</v>
      </c>
      <c r="C98" s="507">
        <v>713656</v>
      </c>
      <c r="D98" s="507">
        <v>713656</v>
      </c>
      <c r="E98" s="508">
        <f>D98/C98*100</f>
        <v>100</v>
      </c>
      <c r="F98" s="340">
        <v>1700</v>
      </c>
    </row>
    <row r="99" spans="1:11" s="28" customFormat="1" ht="15.75" thickTop="1" x14ac:dyDescent="0.25">
      <c r="A99" s="51"/>
      <c r="B99" s="233"/>
      <c r="C99" s="217"/>
      <c r="D99" s="234"/>
      <c r="E99" s="217"/>
      <c r="F99" s="52"/>
    </row>
    <row r="100" spans="1:11" s="53" customFormat="1" ht="18.75" thickBot="1" x14ac:dyDescent="0.3">
      <c r="A100" s="54" t="s">
        <v>38</v>
      </c>
      <c r="B100" s="385">
        <f>B89+B96</f>
        <v>17583000</v>
      </c>
      <c r="C100" s="385">
        <f>C89+C96</f>
        <v>68355237</v>
      </c>
      <c r="D100" s="385">
        <f>D89+D96</f>
        <v>57862969.120000005</v>
      </c>
      <c r="E100" s="214">
        <f>D100/C100*100</f>
        <v>84.650381828096073</v>
      </c>
      <c r="F100" s="17"/>
    </row>
    <row r="101" spans="1:11" s="28" customFormat="1" ht="15.75" thickTop="1" x14ac:dyDescent="0.25">
      <c r="A101" s="51"/>
      <c r="B101" s="233"/>
      <c r="C101" s="217"/>
      <c r="D101" s="234"/>
      <c r="E101" s="217"/>
      <c r="F101" s="52"/>
    </row>
    <row r="102" spans="1:11" ht="18.75" customHeight="1" x14ac:dyDescent="0.25">
      <c r="A102" s="17" t="s">
        <v>40</v>
      </c>
    </row>
    <row r="103" spans="1:11" ht="15.75" thickBot="1" x14ac:dyDescent="0.3">
      <c r="A103" s="18" t="s">
        <v>31</v>
      </c>
      <c r="E103" s="27" t="s">
        <v>18</v>
      </c>
    </row>
    <row r="104" spans="1:11" s="28" customFormat="1" ht="16.5" thickTop="1" thickBot="1" x14ac:dyDescent="0.3">
      <c r="A104" s="274" t="s">
        <v>5</v>
      </c>
      <c r="B104" s="229" t="s">
        <v>0</v>
      </c>
      <c r="C104" s="230" t="s">
        <v>1</v>
      </c>
      <c r="D104" s="231" t="s">
        <v>4</v>
      </c>
      <c r="E104" s="215" t="s">
        <v>6</v>
      </c>
    </row>
    <row r="105" spans="1:11" s="28" customFormat="1" ht="15.75" thickTop="1" x14ac:dyDescent="0.25">
      <c r="A105" s="276" t="s">
        <v>27</v>
      </c>
      <c r="B105" s="232">
        <f>SUM(B106:B106)</f>
        <v>0</v>
      </c>
      <c r="C105" s="232">
        <f>SUM(C106:C106)</f>
        <v>5168950</v>
      </c>
      <c r="D105" s="232">
        <f>SUM(D106:D106)</f>
        <v>5148950</v>
      </c>
      <c r="E105" s="216">
        <f>D105/C105*100</f>
        <v>99.613074222037355</v>
      </c>
      <c r="F105" s="388" t="s">
        <v>559</v>
      </c>
      <c r="H105" s="331" t="s">
        <v>102</v>
      </c>
      <c r="I105" s="382">
        <v>0</v>
      </c>
      <c r="J105" s="382">
        <v>0</v>
      </c>
      <c r="K105" s="382">
        <v>0</v>
      </c>
    </row>
    <row r="106" spans="1:11" ht="13.5" thickBot="1" x14ac:dyDescent="0.25">
      <c r="A106" s="518" t="s">
        <v>370</v>
      </c>
      <c r="B106" s="516">
        <v>0</v>
      </c>
      <c r="C106" s="519">
        <v>5168950</v>
      </c>
      <c r="D106" s="519">
        <v>5148950</v>
      </c>
      <c r="E106" s="520">
        <f>D106/C106*100</f>
        <v>99.613074222037355</v>
      </c>
      <c r="F106" s="339">
        <v>100475</v>
      </c>
      <c r="H106" s="330" t="s">
        <v>416</v>
      </c>
      <c r="I106" s="383">
        <f>SUM(B105)</f>
        <v>0</v>
      </c>
      <c r="J106" s="383">
        <f t="shared" ref="J106:K106" si="32">SUM(C105)</f>
        <v>5168950</v>
      </c>
      <c r="K106" s="383">
        <f t="shared" si="32"/>
        <v>5148950</v>
      </c>
    </row>
    <row r="107" spans="1:11" ht="15.75" thickTop="1" x14ac:dyDescent="0.25">
      <c r="A107" s="33"/>
      <c r="B107" s="237"/>
      <c r="C107" s="237"/>
      <c r="D107" s="237"/>
      <c r="E107" s="220"/>
      <c r="F107" s="46"/>
      <c r="H107" s="349" t="s">
        <v>371</v>
      </c>
      <c r="I107" s="384">
        <v>0</v>
      </c>
      <c r="J107" s="384">
        <v>0</v>
      </c>
      <c r="K107" s="384">
        <v>0</v>
      </c>
    </row>
    <row r="108" spans="1:11" s="53" customFormat="1" ht="18.75" thickBot="1" x14ac:dyDescent="0.3">
      <c r="A108" s="54" t="s">
        <v>42</v>
      </c>
      <c r="B108" s="385">
        <f>B105</f>
        <v>0</v>
      </c>
      <c r="C108" s="385">
        <f>C105</f>
        <v>5168950</v>
      </c>
      <c r="D108" s="385">
        <f>D105</f>
        <v>5148950</v>
      </c>
      <c r="E108" s="214">
        <f>D108/C108*100</f>
        <v>99.613074222037355</v>
      </c>
      <c r="F108" s="17"/>
      <c r="H108" s="23"/>
      <c r="I108" s="381">
        <f>SUM(I105:I107)</f>
        <v>0</v>
      </c>
      <c r="J108" s="381">
        <f t="shared" ref="J108" si="33">SUM(J105:J107)</f>
        <v>5168950</v>
      </c>
      <c r="K108" s="381">
        <f t="shared" ref="K108" si="34">SUM(K105:K107)</f>
        <v>5148950</v>
      </c>
    </row>
    <row r="109" spans="1:11" ht="15.75" thickTop="1" x14ac:dyDescent="0.25">
      <c r="A109" s="33"/>
      <c r="B109" s="237"/>
      <c r="C109" s="237"/>
      <c r="D109" s="237"/>
      <c r="E109" s="220"/>
      <c r="F109" s="46"/>
    </row>
    <row r="110" spans="1:11" ht="18.75" customHeight="1" x14ac:dyDescent="0.25">
      <c r="A110" s="17" t="s">
        <v>367</v>
      </c>
    </row>
    <row r="111" spans="1:11" ht="15.75" thickBot="1" x14ac:dyDescent="0.3">
      <c r="A111" s="18" t="s">
        <v>31</v>
      </c>
      <c r="E111" s="27" t="s">
        <v>18</v>
      </c>
    </row>
    <row r="112" spans="1:11" s="28" customFormat="1" ht="16.5" thickTop="1" thickBot="1" x14ac:dyDescent="0.3">
      <c r="A112" s="274" t="s">
        <v>5</v>
      </c>
      <c r="B112" s="229" t="s">
        <v>0</v>
      </c>
      <c r="C112" s="230" t="s">
        <v>1</v>
      </c>
      <c r="D112" s="231" t="s">
        <v>4</v>
      </c>
      <c r="E112" s="215" t="s">
        <v>6</v>
      </c>
    </row>
    <row r="113" spans="1:11" s="28" customFormat="1" ht="15.75" thickTop="1" x14ac:dyDescent="0.25">
      <c r="A113" s="276" t="s">
        <v>368</v>
      </c>
      <c r="B113" s="232">
        <f>SUM(B114:B114)</f>
        <v>0</v>
      </c>
      <c r="C113" s="232">
        <f>SUM(C114:C114)</f>
        <v>5090859.87</v>
      </c>
      <c r="D113" s="232">
        <f>SUM(D114:D114)</f>
        <v>5050859.87</v>
      </c>
      <c r="E113" s="216">
        <f>D113/C113*100</f>
        <v>99.21427811761788</v>
      </c>
      <c r="F113" s="388" t="s">
        <v>560</v>
      </c>
      <c r="H113" s="331" t="s">
        <v>102</v>
      </c>
      <c r="I113" s="382">
        <v>0</v>
      </c>
      <c r="J113" s="382">
        <v>0</v>
      </c>
      <c r="K113" s="382">
        <v>0</v>
      </c>
    </row>
    <row r="114" spans="1:11" ht="13.5" thickBot="1" x14ac:dyDescent="0.25">
      <c r="A114" s="518" t="s">
        <v>369</v>
      </c>
      <c r="B114" s="519">
        <v>0</v>
      </c>
      <c r="C114" s="519">
        <v>5090859.87</v>
      </c>
      <c r="D114" s="519">
        <v>5050859.87</v>
      </c>
      <c r="E114" s="520">
        <f>D114/C114*100</f>
        <v>99.21427811761788</v>
      </c>
      <c r="F114" s="339">
        <v>100558</v>
      </c>
      <c r="H114" s="330" t="s">
        <v>416</v>
      </c>
      <c r="I114" s="383">
        <f>SUM(B114)</f>
        <v>0</v>
      </c>
      <c r="J114" s="383">
        <f t="shared" ref="J114:K114" si="35">SUM(C114)</f>
        <v>5090859.87</v>
      </c>
      <c r="K114" s="383">
        <f t="shared" si="35"/>
        <v>5050859.87</v>
      </c>
    </row>
    <row r="115" spans="1:11" ht="15.75" thickTop="1" x14ac:dyDescent="0.25">
      <c r="A115" s="33"/>
      <c r="B115" s="237"/>
      <c r="C115" s="237"/>
      <c r="D115" s="237"/>
      <c r="E115" s="220"/>
      <c r="F115" s="46"/>
      <c r="H115" s="349" t="s">
        <v>371</v>
      </c>
      <c r="I115" s="384">
        <v>0</v>
      </c>
      <c r="J115" s="384">
        <v>0</v>
      </c>
      <c r="K115" s="384">
        <v>0</v>
      </c>
    </row>
    <row r="116" spans="1:11" s="53" customFormat="1" ht="18.75" thickBot="1" x14ac:dyDescent="0.3">
      <c r="A116" s="54" t="s">
        <v>377</v>
      </c>
      <c r="B116" s="235">
        <f>B113</f>
        <v>0</v>
      </c>
      <c r="C116" s="235">
        <f>C113</f>
        <v>5090859.87</v>
      </c>
      <c r="D116" s="235">
        <f>D113</f>
        <v>5050859.87</v>
      </c>
      <c r="E116" s="214">
        <f>D116/C116*100</f>
        <v>99.21427811761788</v>
      </c>
      <c r="F116" s="17"/>
      <c r="H116" s="23"/>
      <c r="I116" s="381">
        <f>SUM(I113:I115)</f>
        <v>0</v>
      </c>
      <c r="J116" s="381">
        <f t="shared" ref="J116" si="36">SUM(J113:J115)</f>
        <v>5090859.87</v>
      </c>
      <c r="K116" s="381">
        <f t="shared" ref="K116" si="37">SUM(K113:K115)</f>
        <v>5050859.87</v>
      </c>
    </row>
    <row r="117" spans="1:11" ht="15.75" thickTop="1" x14ac:dyDescent="0.25">
      <c r="A117" s="33"/>
      <c r="B117" s="237"/>
      <c r="C117" s="237"/>
      <c r="D117" s="237"/>
      <c r="E117" s="220"/>
      <c r="F117" s="46"/>
    </row>
    <row r="118" spans="1:11" ht="14.25" x14ac:dyDescent="0.2">
      <c r="A118" s="19" t="s">
        <v>12</v>
      </c>
      <c r="B118" s="238"/>
      <c r="C118" s="238"/>
      <c r="D118" s="238"/>
      <c r="E118" s="221"/>
    </row>
    <row r="119" spans="1:11" ht="16.5" customHeight="1" x14ac:dyDescent="0.2">
      <c r="A119" s="20" t="s">
        <v>16</v>
      </c>
      <c r="B119" s="239">
        <f>SUM(B25)</f>
        <v>213268000</v>
      </c>
      <c r="C119" s="239">
        <f t="shared" ref="C119:D119" si="38">SUM(C25)</f>
        <v>266868766.58000001</v>
      </c>
      <c r="D119" s="239">
        <f t="shared" si="38"/>
        <v>256131374.83000001</v>
      </c>
      <c r="E119" s="222">
        <f t="shared" ref="E119:E126" si="39">D119/C119*100</f>
        <v>95.976527381752931</v>
      </c>
    </row>
    <row r="120" spans="1:11" ht="14.25" x14ac:dyDescent="0.2">
      <c r="A120" s="20" t="s">
        <v>15</v>
      </c>
      <c r="B120" s="239">
        <f>SUM(B39)</f>
        <v>131382000</v>
      </c>
      <c r="C120" s="239">
        <f t="shared" ref="C120:D120" si="40">SUM(C39)</f>
        <v>142129671.56</v>
      </c>
      <c r="D120" s="239">
        <f t="shared" si="40"/>
        <v>140387284.34</v>
      </c>
      <c r="E120" s="222">
        <f>D120/C120*100</f>
        <v>98.774086226418632</v>
      </c>
    </row>
    <row r="121" spans="1:11" ht="14.25" x14ac:dyDescent="0.2">
      <c r="A121" s="20" t="s">
        <v>17</v>
      </c>
      <c r="B121" s="239">
        <f>SUM(B52)</f>
        <v>11667000</v>
      </c>
      <c r="C121" s="239">
        <f t="shared" ref="C121:D121" si="41">SUM(C52)</f>
        <v>14203990.65</v>
      </c>
      <c r="D121" s="239">
        <f t="shared" si="41"/>
        <v>14151054.65</v>
      </c>
      <c r="E121" s="222">
        <f>D121/C121*100</f>
        <v>99.627316003619029</v>
      </c>
    </row>
    <row r="122" spans="1:11" ht="14.25" x14ac:dyDescent="0.2">
      <c r="A122" s="20" t="s">
        <v>13</v>
      </c>
      <c r="B122" s="239">
        <f>SUM(B84)</f>
        <v>121508000</v>
      </c>
      <c r="C122" s="239">
        <f t="shared" ref="C122:D122" si="42">SUM(C84)</f>
        <v>443428959.00999999</v>
      </c>
      <c r="D122" s="239">
        <f t="shared" si="42"/>
        <v>431487436.39000005</v>
      </c>
      <c r="E122" s="222">
        <f>D122/C122*100</f>
        <v>97.307004340298249</v>
      </c>
    </row>
    <row r="123" spans="1:11" ht="14.25" x14ac:dyDescent="0.2">
      <c r="A123" s="20" t="s">
        <v>14</v>
      </c>
      <c r="B123" s="239">
        <f>SUM(B100)</f>
        <v>17583000</v>
      </c>
      <c r="C123" s="239">
        <f t="shared" ref="C123:D123" si="43">SUM(C100)</f>
        <v>68355237</v>
      </c>
      <c r="D123" s="239">
        <f t="shared" si="43"/>
        <v>57862969.120000005</v>
      </c>
      <c r="E123" s="222">
        <f>D123/C123*100</f>
        <v>84.650381828096073</v>
      </c>
    </row>
    <row r="124" spans="1:11" ht="14.25" x14ac:dyDescent="0.2">
      <c r="A124" s="20" t="s">
        <v>28</v>
      </c>
      <c r="B124" s="239">
        <f>SUM(B108)</f>
        <v>0</v>
      </c>
      <c r="C124" s="239">
        <f t="shared" ref="C124:D124" si="44">SUM(C108)</f>
        <v>5168950</v>
      </c>
      <c r="D124" s="239">
        <f t="shared" si="44"/>
        <v>5148950</v>
      </c>
      <c r="E124" s="222">
        <f t="shared" si="39"/>
        <v>99.613074222037355</v>
      </c>
    </row>
    <row r="125" spans="1:11" ht="14.25" x14ac:dyDescent="0.2">
      <c r="A125" s="20" t="s">
        <v>376</v>
      </c>
      <c r="B125" s="239">
        <f>B116</f>
        <v>0</v>
      </c>
      <c r="C125" s="239">
        <f t="shared" ref="C125:D125" si="45">C116</f>
        <v>5090859.87</v>
      </c>
      <c r="D125" s="239">
        <f t="shared" si="45"/>
        <v>5050859.87</v>
      </c>
      <c r="E125" s="222">
        <f t="shared" si="39"/>
        <v>99.21427811761788</v>
      </c>
    </row>
    <row r="126" spans="1:11" ht="15" customHeight="1" thickBot="1" x14ac:dyDescent="0.25">
      <c r="A126" s="21" t="s">
        <v>3</v>
      </c>
      <c r="B126" s="240">
        <f>SUM(B119:B125)</f>
        <v>495408000</v>
      </c>
      <c r="C126" s="240">
        <f>SUM(C119:C125)</f>
        <v>945246434.66999996</v>
      </c>
      <c r="D126" s="240">
        <f t="shared" ref="D126" si="46">SUM(D119:D125)</f>
        <v>910219929.20000005</v>
      </c>
      <c r="E126" s="223">
        <f t="shared" si="39"/>
        <v>96.294457806420795</v>
      </c>
    </row>
    <row r="127" spans="1:11" ht="14.25" customHeight="1" thickTop="1" x14ac:dyDescent="0.2">
      <c r="B127" s="241"/>
      <c r="C127" s="242"/>
      <c r="D127" s="243"/>
    </row>
    <row r="128" spans="1:11" s="209" customFormat="1" hidden="1" x14ac:dyDescent="0.2">
      <c r="A128" s="208"/>
      <c r="B128" s="244"/>
      <c r="C128" s="245"/>
      <c r="D128" s="246"/>
      <c r="E128" s="224"/>
    </row>
    <row r="129" spans="1:5" hidden="1" x14ac:dyDescent="0.2">
      <c r="B129" s="207" t="e">
        <f>SUM(B130:B136)</f>
        <v>#REF!</v>
      </c>
      <c r="C129" s="207" t="e">
        <f>SUM(C130:C136)</f>
        <v>#REF!</v>
      </c>
      <c r="D129" s="207" t="e">
        <f>SUM(D130:D136)</f>
        <v>#REF!</v>
      </c>
    </row>
    <row r="130" spans="1:5" hidden="1" x14ac:dyDescent="0.2">
      <c r="B130" s="206">
        <f>SUM(B8:B10)+SUM(B33:B37)+B45+SUM(B67:B72)+B91</f>
        <v>413551000</v>
      </c>
      <c r="C130" s="206">
        <f>SUM(C8:C10)+SUM(C33:C37)+C45+SUM(C67:C72)+C91</f>
        <v>436998965.13000005</v>
      </c>
      <c r="D130" s="206">
        <f>SUM(D8:D10)+SUM(D33:D37)+D45+SUM(D67:D72)+D91</f>
        <v>432050967.31</v>
      </c>
      <c r="E130" s="225"/>
    </row>
    <row r="131" spans="1:5" hidden="1" x14ac:dyDescent="0.2">
      <c r="B131" s="206">
        <f>B19</f>
        <v>0</v>
      </c>
      <c r="C131" s="206">
        <f>C19</f>
        <v>7933574.3399999999</v>
      </c>
      <c r="D131" s="206">
        <f>D19</f>
        <v>7933574.3399999999</v>
      </c>
    </row>
    <row r="132" spans="1:5" hidden="1" x14ac:dyDescent="0.2">
      <c r="B132" s="206">
        <f>B49</f>
        <v>0</v>
      </c>
      <c r="C132" s="206">
        <f>C49</f>
        <v>367823.65</v>
      </c>
      <c r="D132" s="206">
        <f>D49</f>
        <v>367823.65</v>
      </c>
    </row>
    <row r="133" spans="1:5" hidden="1" x14ac:dyDescent="0.2">
      <c r="B133" s="206">
        <f>B96</f>
        <v>0</v>
      </c>
      <c r="C133" s="206">
        <f>C96</f>
        <v>1036465</v>
      </c>
      <c r="D133" s="206">
        <f>D96</f>
        <v>1036465</v>
      </c>
    </row>
    <row r="134" spans="1:5" hidden="1" x14ac:dyDescent="0.2">
      <c r="B134" s="206">
        <f>B77</f>
        <v>50666000</v>
      </c>
      <c r="C134" s="206">
        <f>C77</f>
        <v>50666000</v>
      </c>
      <c r="D134" s="206">
        <f>D77</f>
        <v>50666000</v>
      </c>
    </row>
    <row r="135" spans="1:5" hidden="1" x14ac:dyDescent="0.2">
      <c r="B135" s="206">
        <f>SUM(B59:B66)</f>
        <v>0</v>
      </c>
      <c r="C135" s="206">
        <f>SUM(C59:C66)</f>
        <v>202141698.85000002</v>
      </c>
      <c r="D135" s="206">
        <f>SUM(D59:D66)</f>
        <v>193978944.24000001</v>
      </c>
      <c r="E135" s="226"/>
    </row>
    <row r="136" spans="1:5" hidden="1" x14ac:dyDescent="0.2">
      <c r="B136" s="206" t="e">
        <f>B106+#REF!+B92+B31+B32+#REF!+B12+B13+B14+B15+#REF!+#REF!</f>
        <v>#REF!</v>
      </c>
      <c r="C136" s="206" t="e">
        <f>C106+#REF!+C92+C31+C32+#REF!+C12+C13+C14+C15+#REF!+#REF!</f>
        <v>#REF!</v>
      </c>
      <c r="D136" s="206" t="e">
        <f>D106+#REF!+D92+D31+D32+#REF!+D12+D13+D14+D15+#REF!+#REF!</f>
        <v>#REF!</v>
      </c>
      <c r="E136" s="227"/>
    </row>
    <row r="137" spans="1:5" hidden="1" x14ac:dyDescent="0.2"/>
    <row r="138" spans="1:5" hidden="1" x14ac:dyDescent="0.2">
      <c r="A138" s="25">
        <v>2011</v>
      </c>
    </row>
    <row r="139" spans="1:5" hidden="1" x14ac:dyDescent="0.2"/>
    <row r="140" spans="1:5" hidden="1" x14ac:dyDescent="0.2"/>
    <row r="141" spans="1:5" hidden="1" x14ac:dyDescent="0.2"/>
    <row r="142" spans="1:5" hidden="1" x14ac:dyDescent="0.2"/>
    <row r="143" spans="1:5" hidden="1" x14ac:dyDescent="0.2"/>
    <row r="144" spans="1:5" hidden="1" x14ac:dyDescent="0.2"/>
    <row r="145" spans="2:2" hidden="1" x14ac:dyDescent="0.2"/>
    <row r="146" spans="2:2" hidden="1" x14ac:dyDescent="0.2"/>
    <row r="147" spans="2:2" hidden="1" x14ac:dyDescent="0.2"/>
    <row r="148" spans="2:2" hidden="1" x14ac:dyDescent="0.2"/>
    <row r="149" spans="2:2" hidden="1" x14ac:dyDescent="0.2"/>
    <row r="150" spans="2:2" hidden="1" x14ac:dyDescent="0.2"/>
    <row r="151" spans="2:2" hidden="1" x14ac:dyDescent="0.2"/>
    <row r="152" spans="2:2" hidden="1" x14ac:dyDescent="0.2">
      <c r="B152" s="247" t="s">
        <v>103</v>
      </c>
    </row>
    <row r="153" spans="2:2" hidden="1" x14ac:dyDescent="0.2">
      <c r="B153" s="247" t="s">
        <v>104</v>
      </c>
    </row>
    <row r="154" spans="2:2" hidden="1" x14ac:dyDescent="0.2">
      <c r="B154" s="248" t="s">
        <v>105</v>
      </c>
    </row>
    <row r="155" spans="2:2" hidden="1" x14ac:dyDescent="0.2">
      <c r="B155" s="249" t="s">
        <v>106</v>
      </c>
    </row>
    <row r="156" spans="2:2" hidden="1" x14ac:dyDescent="0.2">
      <c r="B156" s="247" t="s">
        <v>107</v>
      </c>
    </row>
    <row r="157" spans="2:2" hidden="1" x14ac:dyDescent="0.2"/>
    <row r="158" spans="2:2" hidden="1" x14ac:dyDescent="0.2">
      <c r="B158" s="250" t="s">
        <v>108</v>
      </c>
    </row>
    <row r="159" spans="2:2" hidden="1" x14ac:dyDescent="0.2"/>
    <row r="160" spans="2:2" hidden="1" x14ac:dyDescent="0.2"/>
    <row r="161" spans="1:11" hidden="1" x14ac:dyDescent="0.2"/>
    <row r="162" spans="1:11" hidden="1" x14ac:dyDescent="0.2"/>
    <row r="164" spans="1:11" x14ac:dyDescent="0.2">
      <c r="A164" s="377"/>
      <c r="B164" s="378"/>
      <c r="C164" s="378"/>
      <c r="D164" s="378"/>
    </row>
    <row r="165" spans="1:11" ht="13.5" thickBot="1" x14ac:dyDescent="0.25">
      <c r="A165" s="379"/>
      <c r="B165" s="380">
        <f>SUM(B166:B175)</f>
        <v>495408000</v>
      </c>
      <c r="C165" s="380">
        <f>SUM(C166:C175)</f>
        <v>945246434.67000008</v>
      </c>
      <c r="D165" s="380">
        <f t="shared" ref="D165" si="47">SUM(D166:D175)</f>
        <v>910219929.20000005</v>
      </c>
    </row>
    <row r="166" spans="1:11" ht="13.5" thickTop="1" x14ac:dyDescent="0.2">
      <c r="A166" s="376" t="s">
        <v>556</v>
      </c>
      <c r="B166" s="206">
        <v>0</v>
      </c>
      <c r="C166" s="206">
        <v>9337862.9900000002</v>
      </c>
      <c r="D166" s="206">
        <v>9337862.9900000002</v>
      </c>
      <c r="H166" s="331" t="s">
        <v>102</v>
      </c>
      <c r="I166" s="382">
        <f>I113+I105+I92+I75+I45+I32+I16</f>
        <v>444742000</v>
      </c>
      <c r="J166" s="382">
        <f t="shared" ref="J166:K166" si="48">J113+J105+J92+J75+J45+J32+J16</f>
        <v>432300985.13</v>
      </c>
      <c r="K166" s="382">
        <f t="shared" si="48"/>
        <v>427678553.86000001</v>
      </c>
    </row>
    <row r="167" spans="1:11" x14ac:dyDescent="0.2">
      <c r="A167" s="376" t="s">
        <v>557</v>
      </c>
      <c r="B167" s="206">
        <v>50666000</v>
      </c>
      <c r="C167" s="206">
        <v>50666000</v>
      </c>
      <c r="D167" s="206">
        <v>50666000</v>
      </c>
      <c r="H167" s="330" t="s">
        <v>416</v>
      </c>
      <c r="I167" s="383">
        <f t="shared" ref="I167:K168" si="49">I114+I106+I93+I76+I46+I33+I17</f>
        <v>0</v>
      </c>
      <c r="J167" s="383">
        <f t="shared" si="49"/>
        <v>452941586.54999995</v>
      </c>
      <c r="K167" s="383">
        <f t="shared" si="49"/>
        <v>422537512.35000002</v>
      </c>
    </row>
    <row r="168" spans="1:11" x14ac:dyDescent="0.2">
      <c r="A168" s="376" t="s">
        <v>102</v>
      </c>
      <c r="B168" s="206">
        <v>444742000</v>
      </c>
      <c r="C168" s="206">
        <v>432300985.13</v>
      </c>
      <c r="D168" s="206">
        <v>427678553.86000001</v>
      </c>
      <c r="H168" s="349" t="s">
        <v>371</v>
      </c>
      <c r="I168" s="384">
        <f t="shared" si="49"/>
        <v>50666000</v>
      </c>
      <c r="J168" s="384">
        <f t="shared" si="49"/>
        <v>60003862.989999995</v>
      </c>
      <c r="K168" s="384">
        <f t="shared" si="49"/>
        <v>60003862.989999995</v>
      </c>
    </row>
    <row r="169" spans="1:11" ht="15" x14ac:dyDescent="0.25">
      <c r="A169" s="376" t="s">
        <v>558</v>
      </c>
      <c r="B169" s="206">
        <v>0</v>
      </c>
      <c r="C169" s="206">
        <v>369490957.85000002</v>
      </c>
      <c r="D169" s="206">
        <v>357842066.37</v>
      </c>
      <c r="I169" s="381">
        <f>SUM(I166:I168)</f>
        <v>495408000</v>
      </c>
      <c r="J169" s="381">
        <f>SUM(J166:J168)</f>
        <v>945246434.66999996</v>
      </c>
      <c r="K169" s="381">
        <f t="shared" ref="K169" si="50">SUM(K166:K168)</f>
        <v>910219929.20000005</v>
      </c>
    </row>
    <row r="170" spans="1:11" x14ac:dyDescent="0.2">
      <c r="A170" s="376" t="s">
        <v>416</v>
      </c>
      <c r="B170" s="206">
        <v>0</v>
      </c>
      <c r="C170" s="206">
        <f>19158375.27+4621671.56+49410772+5168950+5090859.87</f>
        <v>83450628.700000003</v>
      </c>
      <c r="D170" s="206">
        <v>64695445.979999997</v>
      </c>
    </row>
  </sheetData>
  <phoneticPr fontId="5" type="noConversion"/>
  <pageMargins left="0.86614173228346458" right="0.86614173228346458" top="0.98425196850393704" bottom="0.98425196850393704" header="0.51181102362204722" footer="0.51181102362204722"/>
  <pageSetup paperSize="9" scale="71" firstPageNumber="194" orientation="portrait" useFirstPageNumber="1" r:id="rId1"/>
  <headerFooter alignWithMargins="0">
    <oddFooter>&amp;L&amp;"Arial,Kurzíva"Zastupitelstvo Olomouckého kraje 28.6.2013
6.- Závěrečný účet Olomouckého kraje za rok 2012
Příloha č. 8: Přehled financování investičních akcí v roce 2012&amp;R&amp;"Arial,Kurzíva"Strana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1"/>
  <sheetViews>
    <sheetView showGridLines="0" view="pageBreakPreview" zoomScaleNormal="100" zoomScaleSheetLayoutView="100" workbookViewId="0"/>
  </sheetViews>
  <sheetFormatPr defaultRowHeight="12.75" x14ac:dyDescent="0.2"/>
  <cols>
    <col min="1" max="1" width="76.28515625" style="1" customWidth="1"/>
    <col min="2" max="2" width="16" style="266" customWidth="1"/>
    <col min="3" max="3" width="17.28515625" style="267" customWidth="1"/>
    <col min="4" max="4" width="17.5703125" style="268" customWidth="1"/>
    <col min="5" max="5" width="8.5703125" style="268" customWidth="1"/>
    <col min="6" max="6" width="12.5703125" style="4" customWidth="1"/>
    <col min="7" max="9" width="11.7109375" style="1" bestFit="1" customWidth="1"/>
    <col min="10" max="16384" width="9.140625" style="1"/>
  </cols>
  <sheetData>
    <row r="1" spans="1:6" ht="25.5" customHeight="1" x14ac:dyDescent="0.25">
      <c r="A1" s="17" t="s">
        <v>109</v>
      </c>
      <c r="B1" s="251"/>
      <c r="C1" s="251"/>
      <c r="D1" s="252"/>
      <c r="E1" s="252"/>
      <c r="F1" s="6"/>
    </row>
    <row r="2" spans="1:6" s="2" customFormat="1" ht="15.75" x14ac:dyDescent="0.25">
      <c r="A2" s="18" t="s">
        <v>59</v>
      </c>
      <c r="B2" s="253"/>
      <c r="C2" s="253"/>
      <c r="D2" s="252"/>
      <c r="E2" s="252"/>
    </row>
    <row r="3" spans="1:6" s="2" customFormat="1" ht="15.75" x14ac:dyDescent="0.25">
      <c r="A3" s="18"/>
      <c r="B3" s="253"/>
      <c r="C3" s="253"/>
      <c r="D3" s="252"/>
      <c r="E3" s="252"/>
    </row>
    <row r="4" spans="1:6" s="23" customFormat="1" ht="18.75" customHeight="1" x14ac:dyDescent="0.25">
      <c r="A4" s="17" t="s">
        <v>30</v>
      </c>
      <c r="B4" s="27"/>
      <c r="C4" s="27"/>
      <c r="D4" s="27"/>
      <c r="E4" s="228"/>
    </row>
    <row r="5" spans="1:6" s="23" customFormat="1" ht="15.75" thickBot="1" x14ac:dyDescent="0.3">
      <c r="A5" s="18" t="s">
        <v>31</v>
      </c>
      <c r="B5" s="254"/>
      <c r="C5" s="254"/>
      <c r="D5" s="254"/>
      <c r="E5" s="228" t="s">
        <v>18</v>
      </c>
    </row>
    <row r="6" spans="1:6" ht="14.25" thickTop="1" thickBot="1" x14ac:dyDescent="0.25">
      <c r="A6" s="16" t="s">
        <v>5</v>
      </c>
      <c r="B6" s="229" t="s">
        <v>0</v>
      </c>
      <c r="C6" s="230" t="s">
        <v>1</v>
      </c>
      <c r="D6" s="231" t="s">
        <v>4</v>
      </c>
      <c r="E6" s="215" t="s">
        <v>6</v>
      </c>
      <c r="F6" s="1"/>
    </row>
    <row r="7" spans="1:6" ht="16.5" thickTop="1" thickBot="1" x14ac:dyDescent="0.3">
      <c r="A7" s="90" t="s">
        <v>7</v>
      </c>
      <c r="B7" s="285">
        <f>SUM(B8:B77)</f>
        <v>69533000</v>
      </c>
      <c r="C7" s="285">
        <f>SUM(C8:C77)</f>
        <v>53184173.960000001</v>
      </c>
      <c r="D7" s="285">
        <f>SUM(D8:D77)</f>
        <v>50615358.469999999</v>
      </c>
      <c r="E7" s="286">
        <f t="shared" ref="E7:E72" si="0">D7/C7*100</f>
        <v>95.169962605921043</v>
      </c>
      <c r="F7" s="13"/>
    </row>
    <row r="8" spans="1:6" s="3" customFormat="1" ht="25.5" x14ac:dyDescent="0.2">
      <c r="A8" s="456" t="s">
        <v>110</v>
      </c>
      <c r="B8" s="457">
        <v>870000</v>
      </c>
      <c r="C8" s="298">
        <v>0</v>
      </c>
      <c r="D8" s="446">
        <v>0</v>
      </c>
      <c r="E8" s="458">
        <v>0</v>
      </c>
      <c r="F8" s="279" t="s">
        <v>24</v>
      </c>
    </row>
    <row r="9" spans="1:6" s="3" customFormat="1" ht="25.5" x14ac:dyDescent="0.2">
      <c r="A9" s="456" t="s">
        <v>111</v>
      </c>
      <c r="B9" s="457">
        <v>4000000</v>
      </c>
      <c r="C9" s="298">
        <v>3701000</v>
      </c>
      <c r="D9" s="446">
        <v>3475941.33</v>
      </c>
      <c r="E9" s="458">
        <f t="shared" si="0"/>
        <v>93.918976763037023</v>
      </c>
      <c r="F9" s="280" t="s">
        <v>170</v>
      </c>
    </row>
    <row r="10" spans="1:6" s="3" customFormat="1" ht="25.5" x14ac:dyDescent="0.2">
      <c r="A10" s="456" t="s">
        <v>112</v>
      </c>
      <c r="B10" s="457">
        <v>1958000</v>
      </c>
      <c r="C10" s="298">
        <v>1899908</v>
      </c>
      <c r="D10" s="457">
        <v>1899908</v>
      </c>
      <c r="E10" s="458">
        <f t="shared" si="0"/>
        <v>100</v>
      </c>
      <c r="F10" s="280" t="s">
        <v>171</v>
      </c>
    </row>
    <row r="11" spans="1:6" s="3" customFormat="1" x14ac:dyDescent="0.2">
      <c r="A11" s="456" t="s">
        <v>113</v>
      </c>
      <c r="B11" s="457">
        <v>2432000</v>
      </c>
      <c r="C11" s="298">
        <v>2602113.5</v>
      </c>
      <c r="D11" s="457">
        <v>2602113.5</v>
      </c>
      <c r="E11" s="458">
        <f t="shared" si="0"/>
        <v>100</v>
      </c>
      <c r="F11" s="280" t="s">
        <v>172</v>
      </c>
    </row>
    <row r="12" spans="1:6" s="3" customFormat="1" ht="25.5" x14ac:dyDescent="0.2">
      <c r="A12" s="456" t="s">
        <v>583</v>
      </c>
      <c r="B12" s="457">
        <v>1944000</v>
      </c>
      <c r="C12" s="298">
        <v>1800190</v>
      </c>
      <c r="D12" s="457">
        <v>1800190</v>
      </c>
      <c r="E12" s="458">
        <f t="shared" si="0"/>
        <v>100</v>
      </c>
      <c r="F12" s="280" t="s">
        <v>173</v>
      </c>
    </row>
    <row r="13" spans="1:6" s="3" customFormat="1" ht="25.5" x14ac:dyDescent="0.2">
      <c r="A13" s="456" t="s">
        <v>114</v>
      </c>
      <c r="B13" s="457">
        <v>2800000</v>
      </c>
      <c r="C13" s="298">
        <v>1634500.24</v>
      </c>
      <c r="D13" s="457">
        <v>1634500.24</v>
      </c>
      <c r="E13" s="458">
        <f t="shared" si="0"/>
        <v>100</v>
      </c>
      <c r="F13" s="280" t="s">
        <v>174</v>
      </c>
    </row>
    <row r="14" spans="1:6" s="3" customFormat="1" x14ac:dyDescent="0.2">
      <c r="A14" s="456" t="s">
        <v>585</v>
      </c>
      <c r="B14" s="457">
        <v>2000000</v>
      </c>
      <c r="C14" s="298">
        <v>1024982.02</v>
      </c>
      <c r="D14" s="457">
        <v>1024982.02</v>
      </c>
      <c r="E14" s="458">
        <f t="shared" si="0"/>
        <v>100</v>
      </c>
      <c r="F14" s="280" t="s">
        <v>25</v>
      </c>
    </row>
    <row r="15" spans="1:6" s="3" customFormat="1" x14ac:dyDescent="0.2">
      <c r="A15" s="456" t="s">
        <v>536</v>
      </c>
      <c r="B15" s="417">
        <v>3678000</v>
      </c>
      <c r="C15" s="459">
        <v>3137906.76</v>
      </c>
      <c r="D15" s="417">
        <v>3137906.76</v>
      </c>
      <c r="E15" s="458">
        <f t="shared" si="0"/>
        <v>100</v>
      </c>
      <c r="F15" s="280" t="s">
        <v>175</v>
      </c>
    </row>
    <row r="16" spans="1:6" s="3" customFormat="1" ht="25.5" x14ac:dyDescent="0.2">
      <c r="A16" s="460" t="s">
        <v>115</v>
      </c>
      <c r="B16" s="457">
        <v>2750000</v>
      </c>
      <c r="C16" s="298">
        <v>1684897</v>
      </c>
      <c r="D16" s="457">
        <v>1684897</v>
      </c>
      <c r="E16" s="458">
        <f t="shared" si="0"/>
        <v>100</v>
      </c>
      <c r="F16" s="280" t="s">
        <v>176</v>
      </c>
    </row>
    <row r="17" spans="1:6" s="3" customFormat="1" x14ac:dyDescent="0.2">
      <c r="A17" s="460" t="s">
        <v>537</v>
      </c>
      <c r="B17" s="457">
        <v>435000</v>
      </c>
      <c r="C17" s="298">
        <v>406627.87</v>
      </c>
      <c r="D17" s="457">
        <v>406627.87</v>
      </c>
      <c r="E17" s="458">
        <f t="shared" si="0"/>
        <v>100</v>
      </c>
      <c r="F17" s="280" t="s">
        <v>177</v>
      </c>
    </row>
    <row r="18" spans="1:6" s="3" customFormat="1" ht="25.5" x14ac:dyDescent="0.2">
      <c r="A18" s="460" t="s">
        <v>116</v>
      </c>
      <c r="B18" s="457">
        <v>2000000</v>
      </c>
      <c r="C18" s="298">
        <v>1687125.6</v>
      </c>
      <c r="D18" s="457">
        <v>1687125.6</v>
      </c>
      <c r="E18" s="458">
        <f t="shared" si="0"/>
        <v>100</v>
      </c>
      <c r="F18" s="280" t="s">
        <v>178</v>
      </c>
    </row>
    <row r="19" spans="1:6" s="3" customFormat="1" x14ac:dyDescent="0.2">
      <c r="A19" s="460" t="s">
        <v>584</v>
      </c>
      <c r="B19" s="417">
        <v>800000</v>
      </c>
      <c r="C19" s="459">
        <v>684640</v>
      </c>
      <c r="D19" s="417">
        <v>684640</v>
      </c>
      <c r="E19" s="458">
        <f t="shared" si="0"/>
        <v>100</v>
      </c>
      <c r="F19" s="280" t="s">
        <v>179</v>
      </c>
    </row>
    <row r="20" spans="1:6" s="3" customFormat="1" x14ac:dyDescent="0.2">
      <c r="A20" s="456" t="s">
        <v>586</v>
      </c>
      <c r="B20" s="417">
        <v>450000</v>
      </c>
      <c r="C20" s="459">
        <v>193320</v>
      </c>
      <c r="D20" s="417">
        <v>193320</v>
      </c>
      <c r="E20" s="458">
        <f t="shared" si="0"/>
        <v>100</v>
      </c>
      <c r="F20" s="281">
        <v>60001100698</v>
      </c>
    </row>
    <row r="21" spans="1:6" s="3" customFormat="1" ht="25.5" x14ac:dyDescent="0.2">
      <c r="A21" s="456" t="s">
        <v>117</v>
      </c>
      <c r="B21" s="457">
        <v>150000</v>
      </c>
      <c r="C21" s="298">
        <v>0</v>
      </c>
      <c r="D21" s="457">
        <v>0</v>
      </c>
      <c r="E21" s="458">
        <v>0</v>
      </c>
      <c r="F21" s="281">
        <v>60001100699</v>
      </c>
    </row>
    <row r="22" spans="1:6" s="3" customFormat="1" ht="25.5" x14ac:dyDescent="0.2">
      <c r="A22" s="456" t="s">
        <v>118</v>
      </c>
      <c r="B22" s="457">
        <v>200000</v>
      </c>
      <c r="C22" s="298">
        <v>36000</v>
      </c>
      <c r="D22" s="457">
        <v>36000</v>
      </c>
      <c r="E22" s="458">
        <f t="shared" si="0"/>
        <v>100</v>
      </c>
      <c r="F22" s="282">
        <v>60001100700</v>
      </c>
    </row>
    <row r="23" spans="1:6" s="3" customFormat="1" ht="25.5" x14ac:dyDescent="0.2">
      <c r="A23" s="456" t="s">
        <v>119</v>
      </c>
      <c r="B23" s="457">
        <v>200000</v>
      </c>
      <c r="C23" s="298">
        <v>115968</v>
      </c>
      <c r="D23" s="457">
        <v>115968</v>
      </c>
      <c r="E23" s="458">
        <f t="shared" si="0"/>
        <v>100</v>
      </c>
      <c r="F23" s="281">
        <v>60001100701</v>
      </c>
    </row>
    <row r="24" spans="1:6" s="3" customFormat="1" ht="25.5" x14ac:dyDescent="0.2">
      <c r="A24" s="456" t="s">
        <v>120</v>
      </c>
      <c r="B24" s="457">
        <v>400000</v>
      </c>
      <c r="C24" s="298">
        <v>375000</v>
      </c>
      <c r="D24" s="446">
        <v>264376.8</v>
      </c>
      <c r="E24" s="458">
        <f t="shared" si="0"/>
        <v>70.500479999999996</v>
      </c>
      <c r="F24" s="281">
        <v>60001100702</v>
      </c>
    </row>
    <row r="25" spans="1:6" s="3" customFormat="1" ht="25.5" x14ac:dyDescent="0.2">
      <c r="A25" s="456" t="s">
        <v>121</v>
      </c>
      <c r="B25" s="457">
        <v>130000</v>
      </c>
      <c r="C25" s="298">
        <v>66000</v>
      </c>
      <c r="D25" s="446">
        <v>66000</v>
      </c>
      <c r="E25" s="458">
        <f t="shared" si="0"/>
        <v>100</v>
      </c>
      <c r="F25" s="281">
        <v>60001100703</v>
      </c>
    </row>
    <row r="26" spans="1:6" s="3" customFormat="1" x14ac:dyDescent="0.2">
      <c r="A26" s="456" t="s">
        <v>122</v>
      </c>
      <c r="B26" s="457">
        <v>350000</v>
      </c>
      <c r="C26" s="298">
        <v>112320</v>
      </c>
      <c r="D26" s="446">
        <v>0</v>
      </c>
      <c r="E26" s="458">
        <f t="shared" si="0"/>
        <v>0</v>
      </c>
      <c r="F26" s="282">
        <v>60001100704</v>
      </c>
    </row>
    <row r="27" spans="1:6" s="3" customFormat="1" x14ac:dyDescent="0.2">
      <c r="A27" s="456" t="s">
        <v>123</v>
      </c>
      <c r="B27" s="457">
        <v>150000</v>
      </c>
      <c r="C27" s="298">
        <v>156000</v>
      </c>
      <c r="D27" s="446">
        <v>156000</v>
      </c>
      <c r="E27" s="458">
        <f t="shared" si="0"/>
        <v>100</v>
      </c>
      <c r="F27" s="282">
        <v>60001100705</v>
      </c>
    </row>
    <row r="28" spans="1:6" s="3" customFormat="1" ht="25.5" x14ac:dyDescent="0.2">
      <c r="A28" s="456" t="s">
        <v>124</v>
      </c>
      <c r="B28" s="457">
        <v>75000</v>
      </c>
      <c r="C28" s="298">
        <v>0</v>
      </c>
      <c r="D28" s="446">
        <v>0</v>
      </c>
      <c r="E28" s="458">
        <v>0</v>
      </c>
      <c r="F28" s="282">
        <v>60001100706</v>
      </c>
    </row>
    <row r="29" spans="1:6" s="3" customFormat="1" x14ac:dyDescent="0.2">
      <c r="A29" s="456" t="s">
        <v>125</v>
      </c>
      <c r="B29" s="457">
        <v>100000</v>
      </c>
      <c r="C29" s="298">
        <v>26400</v>
      </c>
      <c r="D29" s="446">
        <v>26400</v>
      </c>
      <c r="E29" s="458">
        <f t="shared" si="0"/>
        <v>100</v>
      </c>
      <c r="F29" s="282">
        <v>60001100707</v>
      </c>
    </row>
    <row r="30" spans="1:6" s="3" customFormat="1" x14ac:dyDescent="0.2">
      <c r="A30" s="456" t="s">
        <v>126</v>
      </c>
      <c r="B30" s="457">
        <v>100000</v>
      </c>
      <c r="C30" s="298">
        <v>100000</v>
      </c>
      <c r="D30" s="446">
        <v>99960</v>
      </c>
      <c r="E30" s="458">
        <f t="shared" si="0"/>
        <v>99.960000000000008</v>
      </c>
      <c r="F30" s="282">
        <v>60001100708</v>
      </c>
    </row>
    <row r="31" spans="1:6" s="3" customFormat="1" ht="25.5" x14ac:dyDescent="0.2">
      <c r="A31" s="456" t="s">
        <v>127</v>
      </c>
      <c r="B31" s="457">
        <v>300000</v>
      </c>
      <c r="C31" s="298">
        <v>142000</v>
      </c>
      <c r="D31" s="446">
        <v>141960</v>
      </c>
      <c r="E31" s="458">
        <f>D31/C31*100</f>
        <v>99.971830985915489</v>
      </c>
      <c r="F31" s="282">
        <v>60001100709</v>
      </c>
    </row>
    <row r="32" spans="1:6" s="3" customFormat="1" ht="13.5" customHeight="1" x14ac:dyDescent="0.2">
      <c r="A32" s="461" t="s">
        <v>128</v>
      </c>
      <c r="B32" s="457">
        <v>1890000</v>
      </c>
      <c r="C32" s="298">
        <v>2362000</v>
      </c>
      <c r="D32" s="446">
        <v>2362000</v>
      </c>
      <c r="E32" s="458">
        <f t="shared" si="0"/>
        <v>100</v>
      </c>
      <c r="F32" s="283">
        <v>60001100710</v>
      </c>
    </row>
    <row r="33" spans="1:6" s="3" customFormat="1" x14ac:dyDescent="0.2">
      <c r="A33" s="456" t="s">
        <v>129</v>
      </c>
      <c r="B33" s="457">
        <v>2400000</v>
      </c>
      <c r="C33" s="298">
        <v>2158774.1800000002</v>
      </c>
      <c r="D33" s="446">
        <v>2158774.1800000002</v>
      </c>
      <c r="E33" s="458">
        <f t="shared" si="0"/>
        <v>100</v>
      </c>
      <c r="F33" s="283">
        <v>60001100711</v>
      </c>
    </row>
    <row r="34" spans="1:6" s="3" customFormat="1" ht="25.5" x14ac:dyDescent="0.2">
      <c r="A34" s="456" t="s">
        <v>130</v>
      </c>
      <c r="B34" s="457">
        <v>450000</v>
      </c>
      <c r="C34" s="298">
        <v>1424000</v>
      </c>
      <c r="D34" s="446">
        <v>552897</v>
      </c>
      <c r="E34" s="458">
        <f t="shared" si="0"/>
        <v>38.82703651685393</v>
      </c>
      <c r="F34" s="283">
        <v>60001100712</v>
      </c>
    </row>
    <row r="35" spans="1:6" s="3" customFormat="1" x14ac:dyDescent="0.2">
      <c r="A35" s="456" t="s">
        <v>131</v>
      </c>
      <c r="B35" s="457">
        <v>1700000</v>
      </c>
      <c r="C35" s="298">
        <v>0</v>
      </c>
      <c r="D35" s="446">
        <v>0</v>
      </c>
      <c r="E35" s="458">
        <v>0</v>
      </c>
      <c r="F35" s="283">
        <v>60001100713</v>
      </c>
    </row>
    <row r="36" spans="1:6" s="3" customFormat="1" x14ac:dyDescent="0.2">
      <c r="A36" s="456" t="s">
        <v>132</v>
      </c>
      <c r="B36" s="457">
        <v>1500000</v>
      </c>
      <c r="C36" s="298">
        <v>1808735.5</v>
      </c>
      <c r="D36" s="446">
        <v>1808735.5</v>
      </c>
      <c r="E36" s="458">
        <f t="shared" si="0"/>
        <v>100</v>
      </c>
      <c r="F36" s="283">
        <v>60001100714</v>
      </c>
    </row>
    <row r="37" spans="1:6" s="3" customFormat="1" x14ac:dyDescent="0.2">
      <c r="A37" s="456" t="s">
        <v>133</v>
      </c>
      <c r="B37" s="457">
        <v>2600000</v>
      </c>
      <c r="C37" s="298">
        <v>3458000</v>
      </c>
      <c r="D37" s="446">
        <v>3446708</v>
      </c>
      <c r="E37" s="458">
        <f t="shared" si="0"/>
        <v>99.673452862926553</v>
      </c>
      <c r="F37" s="283">
        <v>60001100715</v>
      </c>
    </row>
    <row r="38" spans="1:6" s="3" customFormat="1" ht="25.5" x14ac:dyDescent="0.2">
      <c r="A38" s="456" t="s">
        <v>134</v>
      </c>
      <c r="B38" s="457">
        <v>500000</v>
      </c>
      <c r="C38" s="298">
        <v>763102.4</v>
      </c>
      <c r="D38" s="446">
        <v>763102.4</v>
      </c>
      <c r="E38" s="458">
        <f t="shared" si="0"/>
        <v>100</v>
      </c>
      <c r="F38" s="283">
        <v>60001100716</v>
      </c>
    </row>
    <row r="39" spans="1:6" s="3" customFormat="1" ht="38.25" x14ac:dyDescent="0.2">
      <c r="A39" s="456" t="s">
        <v>135</v>
      </c>
      <c r="B39" s="457">
        <v>980000</v>
      </c>
      <c r="C39" s="298">
        <v>1263000</v>
      </c>
      <c r="D39" s="446">
        <v>1263000</v>
      </c>
      <c r="E39" s="458">
        <f t="shared" si="0"/>
        <v>100</v>
      </c>
      <c r="F39" s="283">
        <v>60001100717</v>
      </c>
    </row>
    <row r="40" spans="1:6" s="3" customFormat="1" ht="25.5" x14ac:dyDescent="0.2">
      <c r="A40" s="456" t="s">
        <v>136</v>
      </c>
      <c r="B40" s="457">
        <v>576000</v>
      </c>
      <c r="C40" s="298">
        <v>576000</v>
      </c>
      <c r="D40" s="446">
        <v>576000</v>
      </c>
      <c r="E40" s="458">
        <f t="shared" si="0"/>
        <v>100</v>
      </c>
      <c r="F40" s="283">
        <v>60001100718</v>
      </c>
    </row>
    <row r="41" spans="1:6" s="3" customFormat="1" ht="25.5" x14ac:dyDescent="0.2">
      <c r="A41" s="456" t="s">
        <v>137</v>
      </c>
      <c r="B41" s="457">
        <v>500000</v>
      </c>
      <c r="C41" s="298">
        <v>0</v>
      </c>
      <c r="D41" s="446">
        <v>0</v>
      </c>
      <c r="E41" s="458">
        <v>0</v>
      </c>
      <c r="F41" s="283">
        <v>60001100719</v>
      </c>
    </row>
    <row r="42" spans="1:6" s="3" customFormat="1" ht="25.5" x14ac:dyDescent="0.2">
      <c r="A42" s="456" t="s">
        <v>138</v>
      </c>
      <c r="B42" s="457">
        <v>970000</v>
      </c>
      <c r="C42" s="298">
        <v>1520000</v>
      </c>
      <c r="D42" s="446">
        <v>748739</v>
      </c>
      <c r="E42" s="458">
        <f t="shared" si="0"/>
        <v>49.259144736842103</v>
      </c>
      <c r="F42" s="283">
        <v>60001100720</v>
      </c>
    </row>
    <row r="43" spans="1:6" s="3" customFormat="1" x14ac:dyDescent="0.2">
      <c r="A43" s="456" t="s">
        <v>139</v>
      </c>
      <c r="B43" s="457">
        <v>230000</v>
      </c>
      <c r="C43" s="298">
        <v>0</v>
      </c>
      <c r="D43" s="446">
        <v>0</v>
      </c>
      <c r="E43" s="458">
        <v>0</v>
      </c>
      <c r="F43" s="283">
        <v>60001100721</v>
      </c>
    </row>
    <row r="44" spans="1:6" s="3" customFormat="1" x14ac:dyDescent="0.2">
      <c r="A44" s="456" t="s">
        <v>140</v>
      </c>
      <c r="B44" s="457">
        <v>1300000</v>
      </c>
      <c r="C44" s="298">
        <v>1271665</v>
      </c>
      <c r="D44" s="446">
        <v>1271665</v>
      </c>
      <c r="E44" s="458">
        <f t="shared" si="0"/>
        <v>100</v>
      </c>
      <c r="F44" s="283">
        <v>60001100722</v>
      </c>
    </row>
    <row r="45" spans="1:6" s="3" customFormat="1" x14ac:dyDescent="0.2">
      <c r="A45" s="456" t="s">
        <v>141</v>
      </c>
      <c r="B45" s="457">
        <v>851000</v>
      </c>
      <c r="C45" s="298">
        <v>690783.2</v>
      </c>
      <c r="D45" s="446">
        <v>690783</v>
      </c>
      <c r="E45" s="458">
        <f t="shared" si="0"/>
        <v>99.999971047356112</v>
      </c>
      <c r="F45" s="283">
        <v>60001100723</v>
      </c>
    </row>
    <row r="46" spans="1:6" s="3" customFormat="1" x14ac:dyDescent="0.2">
      <c r="A46" s="456" t="s">
        <v>142</v>
      </c>
      <c r="B46" s="457">
        <v>530000</v>
      </c>
      <c r="C46" s="298">
        <v>815000</v>
      </c>
      <c r="D46" s="446">
        <v>814836</v>
      </c>
      <c r="E46" s="458">
        <f t="shared" si="0"/>
        <v>99.979877300613495</v>
      </c>
      <c r="F46" s="283">
        <v>60001100724</v>
      </c>
    </row>
    <row r="47" spans="1:6" s="3" customFormat="1" ht="25.5" x14ac:dyDescent="0.2">
      <c r="A47" s="456" t="s">
        <v>143</v>
      </c>
      <c r="B47" s="457">
        <v>1900000</v>
      </c>
      <c r="C47" s="298">
        <v>475200</v>
      </c>
      <c r="D47" s="446">
        <v>149280</v>
      </c>
      <c r="E47" s="458">
        <f t="shared" si="0"/>
        <v>31.414141414141415</v>
      </c>
      <c r="F47" s="283">
        <v>60001100725</v>
      </c>
    </row>
    <row r="48" spans="1:6" s="3" customFormat="1" ht="25.5" x14ac:dyDescent="0.2">
      <c r="A48" s="460" t="s">
        <v>144</v>
      </c>
      <c r="B48" s="457">
        <v>400000</v>
      </c>
      <c r="C48" s="298">
        <v>405352</v>
      </c>
      <c r="D48" s="446">
        <v>405352</v>
      </c>
      <c r="E48" s="458">
        <f t="shared" si="0"/>
        <v>100</v>
      </c>
      <c r="F48" s="283">
        <v>60001100726</v>
      </c>
    </row>
    <row r="49" spans="1:6" s="3" customFormat="1" ht="25.5" x14ac:dyDescent="0.2">
      <c r="A49" s="460" t="s">
        <v>145</v>
      </c>
      <c r="B49" s="457">
        <v>700000</v>
      </c>
      <c r="C49" s="298">
        <v>15700</v>
      </c>
      <c r="D49" s="446">
        <v>11140</v>
      </c>
      <c r="E49" s="458">
        <f t="shared" si="0"/>
        <v>70.955414012738842</v>
      </c>
      <c r="F49" s="283">
        <v>60001100727</v>
      </c>
    </row>
    <row r="50" spans="1:6" s="3" customFormat="1" x14ac:dyDescent="0.2">
      <c r="A50" s="460" t="s">
        <v>146</v>
      </c>
      <c r="B50" s="457">
        <v>500000</v>
      </c>
      <c r="C50" s="298">
        <v>0</v>
      </c>
      <c r="D50" s="446">
        <v>0</v>
      </c>
      <c r="E50" s="458">
        <v>0</v>
      </c>
      <c r="F50" s="283">
        <v>60001100728</v>
      </c>
    </row>
    <row r="51" spans="1:6" s="3" customFormat="1" x14ac:dyDescent="0.2">
      <c r="A51" s="460" t="s">
        <v>147</v>
      </c>
      <c r="B51" s="457">
        <v>300000</v>
      </c>
      <c r="C51" s="298">
        <v>0</v>
      </c>
      <c r="D51" s="446">
        <v>0</v>
      </c>
      <c r="E51" s="458">
        <v>0</v>
      </c>
      <c r="F51" s="283">
        <v>60001100729</v>
      </c>
    </row>
    <row r="52" spans="1:6" s="3" customFormat="1" x14ac:dyDescent="0.2">
      <c r="A52" s="460" t="s">
        <v>148</v>
      </c>
      <c r="B52" s="457">
        <v>200000</v>
      </c>
      <c r="C52" s="298">
        <v>0</v>
      </c>
      <c r="D52" s="446">
        <v>0</v>
      </c>
      <c r="E52" s="458">
        <v>0</v>
      </c>
      <c r="F52" s="283">
        <v>60001100730</v>
      </c>
    </row>
    <row r="53" spans="1:6" s="3" customFormat="1" ht="25.5" x14ac:dyDescent="0.2">
      <c r="A53" s="460" t="s">
        <v>149</v>
      </c>
      <c r="B53" s="457">
        <v>300000</v>
      </c>
      <c r="C53" s="298">
        <v>0</v>
      </c>
      <c r="D53" s="446">
        <v>0</v>
      </c>
      <c r="E53" s="458">
        <v>0</v>
      </c>
      <c r="F53" s="283">
        <v>60001100731</v>
      </c>
    </row>
    <row r="54" spans="1:6" s="3" customFormat="1" x14ac:dyDescent="0.2">
      <c r="A54" s="460" t="s">
        <v>150</v>
      </c>
      <c r="B54" s="457">
        <v>720000</v>
      </c>
      <c r="C54" s="298">
        <v>0</v>
      </c>
      <c r="D54" s="446">
        <v>0</v>
      </c>
      <c r="E54" s="458">
        <v>0</v>
      </c>
      <c r="F54" s="283">
        <v>60001100732</v>
      </c>
    </row>
    <row r="55" spans="1:6" s="3" customFormat="1" ht="13.5" thickBot="1" x14ac:dyDescent="0.25">
      <c r="A55" s="462" t="s">
        <v>151</v>
      </c>
      <c r="B55" s="463">
        <v>200000</v>
      </c>
      <c r="C55" s="464">
        <v>0</v>
      </c>
      <c r="D55" s="452">
        <v>0</v>
      </c>
      <c r="E55" s="465">
        <v>0</v>
      </c>
      <c r="F55" s="283">
        <v>60001100733</v>
      </c>
    </row>
    <row r="56" spans="1:6" s="23" customFormat="1" ht="16.5" thickTop="1" thickBot="1" x14ac:dyDescent="0.3">
      <c r="A56" s="18"/>
      <c r="B56" s="411"/>
      <c r="C56" s="411"/>
      <c r="D56" s="411"/>
      <c r="E56" s="412" t="s">
        <v>18</v>
      </c>
    </row>
    <row r="57" spans="1:6" ht="14.25" thickTop="1" thickBot="1" x14ac:dyDescent="0.25">
      <c r="A57" s="16" t="s">
        <v>5</v>
      </c>
      <c r="B57" s="229" t="s">
        <v>0</v>
      </c>
      <c r="C57" s="230" t="s">
        <v>1</v>
      </c>
      <c r="D57" s="231" t="s">
        <v>4</v>
      </c>
      <c r="E57" s="215" t="s">
        <v>6</v>
      </c>
      <c r="F57" s="1"/>
    </row>
    <row r="58" spans="1:6" s="3" customFormat="1" ht="26.25" thickTop="1" x14ac:dyDescent="0.2">
      <c r="A58" s="460" t="s">
        <v>152</v>
      </c>
      <c r="B58" s="457">
        <v>800000</v>
      </c>
      <c r="C58" s="298">
        <v>650534.68999999994</v>
      </c>
      <c r="D58" s="446">
        <v>650534.68999999994</v>
      </c>
      <c r="E58" s="458">
        <f t="shared" si="0"/>
        <v>100</v>
      </c>
      <c r="F58" s="283">
        <v>60001100734</v>
      </c>
    </row>
    <row r="59" spans="1:6" s="3" customFormat="1" x14ac:dyDescent="0.2">
      <c r="A59" s="460" t="s">
        <v>153</v>
      </c>
      <c r="B59" s="457">
        <v>500000</v>
      </c>
      <c r="C59" s="298">
        <v>0</v>
      </c>
      <c r="D59" s="446">
        <v>0</v>
      </c>
      <c r="E59" s="458">
        <v>0</v>
      </c>
      <c r="F59" s="283">
        <v>60001100735</v>
      </c>
    </row>
    <row r="60" spans="1:6" s="3" customFormat="1" x14ac:dyDescent="0.2">
      <c r="A60" s="460" t="s">
        <v>154</v>
      </c>
      <c r="B60" s="457">
        <v>700000</v>
      </c>
      <c r="C60" s="298">
        <v>0</v>
      </c>
      <c r="D60" s="446">
        <v>0</v>
      </c>
      <c r="E60" s="458">
        <v>0</v>
      </c>
      <c r="F60" s="283">
        <v>60001100736</v>
      </c>
    </row>
    <row r="61" spans="1:6" s="3" customFormat="1" ht="25.5" x14ac:dyDescent="0.2">
      <c r="A61" s="460" t="s">
        <v>155</v>
      </c>
      <c r="B61" s="457">
        <v>1300000</v>
      </c>
      <c r="C61" s="298">
        <v>1454261.8</v>
      </c>
      <c r="D61" s="446">
        <v>1454261.8</v>
      </c>
      <c r="E61" s="458">
        <f t="shared" si="0"/>
        <v>100</v>
      </c>
      <c r="F61" s="283">
        <v>60001100737</v>
      </c>
    </row>
    <row r="62" spans="1:6" s="3" customFormat="1" ht="25.5" x14ac:dyDescent="0.2">
      <c r="A62" s="460" t="s">
        <v>156</v>
      </c>
      <c r="B62" s="457">
        <v>220000</v>
      </c>
      <c r="C62" s="298">
        <v>0</v>
      </c>
      <c r="D62" s="446">
        <v>0</v>
      </c>
      <c r="E62" s="458">
        <v>0</v>
      </c>
      <c r="F62" s="283">
        <v>60001100738</v>
      </c>
    </row>
    <row r="63" spans="1:6" s="3" customFormat="1" ht="25.5" x14ac:dyDescent="0.2">
      <c r="A63" s="460" t="s">
        <v>157</v>
      </c>
      <c r="B63" s="457">
        <v>400000</v>
      </c>
      <c r="C63" s="457">
        <v>0</v>
      </c>
      <c r="D63" s="446">
        <v>0</v>
      </c>
      <c r="E63" s="466">
        <v>0</v>
      </c>
      <c r="F63" s="283">
        <v>60001100739</v>
      </c>
    </row>
    <row r="64" spans="1:6" s="3" customFormat="1" x14ac:dyDescent="0.2">
      <c r="A64" s="460" t="s">
        <v>158</v>
      </c>
      <c r="B64" s="457">
        <v>4694000</v>
      </c>
      <c r="C64" s="298">
        <v>136500</v>
      </c>
      <c r="D64" s="446">
        <v>108254.39999999999</v>
      </c>
      <c r="E64" s="458">
        <f t="shared" si="0"/>
        <v>79.307252747252747</v>
      </c>
      <c r="F64" s="283">
        <v>60001100740</v>
      </c>
    </row>
    <row r="65" spans="1:6" s="3" customFormat="1" x14ac:dyDescent="0.2">
      <c r="A65" s="460" t="s">
        <v>535</v>
      </c>
      <c r="B65" s="457">
        <v>2000000</v>
      </c>
      <c r="C65" s="298">
        <v>629960</v>
      </c>
      <c r="D65" s="446">
        <v>521785.18</v>
      </c>
      <c r="E65" s="458">
        <f t="shared" si="0"/>
        <v>82.828303384341865</v>
      </c>
      <c r="F65" s="283">
        <v>60001100741</v>
      </c>
    </row>
    <row r="66" spans="1:6" s="3" customFormat="1" x14ac:dyDescent="0.2">
      <c r="A66" s="460" t="s">
        <v>159</v>
      </c>
      <c r="B66" s="457">
        <v>550000</v>
      </c>
      <c r="C66" s="298">
        <v>0</v>
      </c>
      <c r="D66" s="446">
        <v>0</v>
      </c>
      <c r="E66" s="458">
        <v>0</v>
      </c>
      <c r="F66" s="283">
        <v>60001100742</v>
      </c>
    </row>
    <row r="67" spans="1:6" s="3" customFormat="1" ht="25.5" x14ac:dyDescent="0.2">
      <c r="A67" s="460" t="s">
        <v>160</v>
      </c>
      <c r="B67" s="457">
        <v>640000</v>
      </c>
      <c r="C67" s="298">
        <v>0</v>
      </c>
      <c r="D67" s="446">
        <v>0</v>
      </c>
      <c r="E67" s="458">
        <v>0</v>
      </c>
      <c r="F67" s="283">
        <v>60001100743</v>
      </c>
    </row>
    <row r="68" spans="1:6" s="3" customFormat="1" x14ac:dyDescent="0.2">
      <c r="A68" s="460" t="s">
        <v>161</v>
      </c>
      <c r="B68" s="457">
        <v>200000</v>
      </c>
      <c r="C68" s="298">
        <v>0</v>
      </c>
      <c r="D68" s="446">
        <v>0</v>
      </c>
      <c r="E68" s="458">
        <v>0</v>
      </c>
      <c r="F68" s="283">
        <v>60001100744</v>
      </c>
    </row>
    <row r="69" spans="1:6" s="3" customFormat="1" x14ac:dyDescent="0.2">
      <c r="A69" s="460" t="s">
        <v>162</v>
      </c>
      <c r="B69" s="457">
        <v>1900000</v>
      </c>
      <c r="C69" s="298">
        <v>1678079</v>
      </c>
      <c r="D69" s="446">
        <v>1678079</v>
      </c>
      <c r="E69" s="458">
        <f t="shared" si="0"/>
        <v>100</v>
      </c>
      <c r="F69" s="283">
        <v>60001100745</v>
      </c>
    </row>
    <row r="70" spans="1:6" s="3" customFormat="1" x14ac:dyDescent="0.2">
      <c r="A70" s="460" t="s">
        <v>163</v>
      </c>
      <c r="B70" s="457">
        <v>1100000</v>
      </c>
      <c r="C70" s="298">
        <v>849147</v>
      </c>
      <c r="D70" s="446">
        <v>849147</v>
      </c>
      <c r="E70" s="458">
        <f t="shared" si="0"/>
        <v>100</v>
      </c>
      <c r="F70" s="283">
        <v>60001100746</v>
      </c>
    </row>
    <row r="71" spans="1:6" s="3" customFormat="1" x14ac:dyDescent="0.2">
      <c r="A71" s="460" t="s">
        <v>164</v>
      </c>
      <c r="B71" s="417">
        <v>1920000</v>
      </c>
      <c r="C71" s="459">
        <v>2897985.2</v>
      </c>
      <c r="D71" s="446">
        <v>2897985.2</v>
      </c>
      <c r="E71" s="458">
        <f t="shared" si="0"/>
        <v>100</v>
      </c>
      <c r="F71" s="283">
        <v>60001100747</v>
      </c>
    </row>
    <row r="72" spans="1:6" s="3" customFormat="1" ht="25.5" x14ac:dyDescent="0.2">
      <c r="A72" s="460" t="s">
        <v>165</v>
      </c>
      <c r="B72" s="417">
        <v>480000</v>
      </c>
      <c r="C72" s="459">
        <v>331286</v>
      </c>
      <c r="D72" s="446">
        <v>331286</v>
      </c>
      <c r="E72" s="458">
        <f t="shared" si="0"/>
        <v>100</v>
      </c>
      <c r="F72" s="283">
        <v>60001100748</v>
      </c>
    </row>
    <row r="73" spans="1:6" s="3" customFormat="1" ht="25.5" x14ac:dyDescent="0.2">
      <c r="A73" s="460" t="s">
        <v>166</v>
      </c>
      <c r="B73" s="417">
        <v>750000</v>
      </c>
      <c r="C73" s="459">
        <v>1868209</v>
      </c>
      <c r="D73" s="446">
        <v>1868209</v>
      </c>
      <c r="E73" s="458">
        <f t="shared" ref="E73:E74" si="1">D73/C73*100</f>
        <v>100</v>
      </c>
      <c r="F73" s="283">
        <v>60001100749</v>
      </c>
    </row>
    <row r="74" spans="1:6" s="3" customFormat="1" ht="25.5" x14ac:dyDescent="0.2">
      <c r="A74" s="460" t="s">
        <v>167</v>
      </c>
      <c r="B74" s="417">
        <v>600000</v>
      </c>
      <c r="C74" s="459">
        <v>1932000</v>
      </c>
      <c r="D74" s="446">
        <v>1931987</v>
      </c>
      <c r="E74" s="458">
        <f t="shared" si="1"/>
        <v>99.999327122153218</v>
      </c>
      <c r="F74" s="283">
        <v>60001100750</v>
      </c>
    </row>
    <row r="75" spans="1:6" s="5" customFormat="1" x14ac:dyDescent="0.2">
      <c r="A75" s="460" t="s">
        <v>168</v>
      </c>
      <c r="B75" s="417">
        <v>150000</v>
      </c>
      <c r="C75" s="459">
        <v>0</v>
      </c>
      <c r="D75" s="446">
        <v>0</v>
      </c>
      <c r="E75" s="458">
        <v>0</v>
      </c>
      <c r="F75" s="283">
        <v>60001100751</v>
      </c>
    </row>
    <row r="76" spans="1:6" s="3" customFormat="1" x14ac:dyDescent="0.2">
      <c r="A76" s="460" t="s">
        <v>169</v>
      </c>
      <c r="B76" s="417">
        <v>160000</v>
      </c>
      <c r="C76" s="459">
        <v>0</v>
      </c>
      <c r="D76" s="446">
        <v>0</v>
      </c>
      <c r="E76" s="458">
        <v>0</v>
      </c>
      <c r="F76" s="283">
        <v>60001100752</v>
      </c>
    </row>
    <row r="77" spans="1:6" s="3" customFormat="1" ht="26.25" thickBot="1" x14ac:dyDescent="0.25">
      <c r="A77" s="462" t="s">
        <v>180</v>
      </c>
      <c r="B77" s="417">
        <v>0</v>
      </c>
      <c r="C77" s="459">
        <v>162000</v>
      </c>
      <c r="D77" s="446">
        <v>162000</v>
      </c>
      <c r="E77" s="458">
        <f t="shared" ref="E77" si="2">D77/C77*100</f>
        <v>100</v>
      </c>
      <c r="F77" s="283">
        <v>60001100800</v>
      </c>
    </row>
    <row r="78" spans="1:6" ht="16.5" thickTop="1" x14ac:dyDescent="0.25">
      <c r="A78" s="294"/>
      <c r="B78" s="295"/>
      <c r="C78" s="295"/>
      <c r="D78" s="295"/>
      <c r="E78" s="296"/>
      <c r="F78" s="8"/>
    </row>
    <row r="79" spans="1:6" s="23" customFormat="1" ht="15.75" thickBot="1" x14ac:dyDescent="0.3">
      <c r="A79" s="18" t="s">
        <v>32</v>
      </c>
      <c r="B79" s="254"/>
      <c r="C79" s="254"/>
      <c r="D79" s="254"/>
      <c r="E79" s="228" t="s">
        <v>18</v>
      </c>
    </row>
    <row r="80" spans="1:6" ht="14.25" thickTop="1" thickBot="1" x14ac:dyDescent="0.25">
      <c r="A80" s="16" t="s">
        <v>5</v>
      </c>
      <c r="B80" s="229" t="s">
        <v>0</v>
      </c>
      <c r="C80" s="230" t="s">
        <v>1</v>
      </c>
      <c r="D80" s="231" t="s">
        <v>4</v>
      </c>
      <c r="E80" s="215" t="s">
        <v>6</v>
      </c>
      <c r="F80" s="1"/>
    </row>
    <row r="81" spans="1:6" ht="15.75" thickTop="1" x14ac:dyDescent="0.25">
      <c r="A81" s="90" t="s">
        <v>7</v>
      </c>
      <c r="B81" s="285">
        <f>SUM(B82:B97)</f>
        <v>0</v>
      </c>
      <c r="C81" s="285">
        <f>SUM(C82:C97)</f>
        <v>6865224</v>
      </c>
      <c r="D81" s="285">
        <f>SUM(D82:D97)</f>
        <v>6865224</v>
      </c>
      <c r="E81" s="286">
        <f t="shared" ref="E81:E96" si="3">D81/C81*100</f>
        <v>100</v>
      </c>
      <c r="F81" s="13"/>
    </row>
    <row r="82" spans="1:6" s="3" customFormat="1" x14ac:dyDescent="0.2">
      <c r="A82" s="456" t="s">
        <v>168</v>
      </c>
      <c r="B82" s="457">
        <v>0</v>
      </c>
      <c r="C82" s="298">
        <v>150000</v>
      </c>
      <c r="D82" s="446">
        <v>150000</v>
      </c>
      <c r="E82" s="458">
        <f t="shared" si="3"/>
        <v>100</v>
      </c>
      <c r="F82" s="283">
        <v>1043</v>
      </c>
    </row>
    <row r="83" spans="1:6" s="3" customFormat="1" x14ac:dyDescent="0.2">
      <c r="A83" s="456" t="s">
        <v>151</v>
      </c>
      <c r="B83" s="457">
        <v>0</v>
      </c>
      <c r="C83" s="298">
        <v>200000</v>
      </c>
      <c r="D83" s="446">
        <v>200000</v>
      </c>
      <c r="E83" s="458">
        <f t="shared" si="3"/>
        <v>100</v>
      </c>
      <c r="F83" s="283">
        <v>1101</v>
      </c>
    </row>
    <row r="84" spans="1:6" s="3" customFormat="1" x14ac:dyDescent="0.2">
      <c r="A84" s="456" t="s">
        <v>150</v>
      </c>
      <c r="B84" s="457">
        <v>0</v>
      </c>
      <c r="C84" s="298">
        <v>720000</v>
      </c>
      <c r="D84" s="446">
        <v>720000</v>
      </c>
      <c r="E84" s="458">
        <f t="shared" si="3"/>
        <v>100</v>
      </c>
      <c r="F84" s="283">
        <v>1103</v>
      </c>
    </row>
    <row r="85" spans="1:6" s="3" customFormat="1" x14ac:dyDescent="0.2">
      <c r="A85" s="456" t="s">
        <v>148</v>
      </c>
      <c r="B85" s="457">
        <v>0</v>
      </c>
      <c r="C85" s="298">
        <v>200000</v>
      </c>
      <c r="D85" s="446">
        <v>200000</v>
      </c>
      <c r="E85" s="458">
        <f t="shared" si="3"/>
        <v>100</v>
      </c>
      <c r="F85" s="283">
        <v>1123</v>
      </c>
    </row>
    <row r="86" spans="1:6" s="3" customFormat="1" x14ac:dyDescent="0.2">
      <c r="A86" s="456" t="s">
        <v>159</v>
      </c>
      <c r="B86" s="457">
        <v>0</v>
      </c>
      <c r="C86" s="298">
        <v>550000</v>
      </c>
      <c r="D86" s="446">
        <v>550000</v>
      </c>
      <c r="E86" s="458">
        <f t="shared" si="3"/>
        <v>100</v>
      </c>
      <c r="F86" s="283">
        <v>1127</v>
      </c>
    </row>
    <row r="87" spans="1:6" s="3" customFormat="1" ht="25.5" x14ac:dyDescent="0.2">
      <c r="A87" s="456" t="s">
        <v>157</v>
      </c>
      <c r="B87" s="457">
        <v>0</v>
      </c>
      <c r="C87" s="298">
        <v>400000</v>
      </c>
      <c r="D87" s="446">
        <v>400000</v>
      </c>
      <c r="E87" s="458">
        <f t="shared" si="3"/>
        <v>100</v>
      </c>
      <c r="F87" s="283">
        <v>1133</v>
      </c>
    </row>
    <row r="88" spans="1:6" s="3" customFormat="1" x14ac:dyDescent="0.2">
      <c r="A88" s="456" t="s">
        <v>154</v>
      </c>
      <c r="B88" s="457">
        <v>0</v>
      </c>
      <c r="C88" s="298">
        <v>700000</v>
      </c>
      <c r="D88" s="446">
        <v>700000</v>
      </c>
      <c r="E88" s="458">
        <f t="shared" si="3"/>
        <v>100</v>
      </c>
      <c r="F88" s="283">
        <v>1162</v>
      </c>
    </row>
    <row r="89" spans="1:6" s="3" customFormat="1" x14ac:dyDescent="0.2">
      <c r="A89" s="456" t="s">
        <v>169</v>
      </c>
      <c r="B89" s="457">
        <v>0</v>
      </c>
      <c r="C89" s="298">
        <v>160000</v>
      </c>
      <c r="D89" s="446">
        <v>160000</v>
      </c>
      <c r="E89" s="458">
        <f t="shared" si="3"/>
        <v>100</v>
      </c>
      <c r="F89" s="283">
        <v>1175</v>
      </c>
    </row>
    <row r="90" spans="1:6" s="3" customFormat="1" x14ac:dyDescent="0.2">
      <c r="A90" s="456" t="s">
        <v>147</v>
      </c>
      <c r="B90" s="457">
        <v>0</v>
      </c>
      <c r="C90" s="298">
        <v>300000</v>
      </c>
      <c r="D90" s="446">
        <v>300000</v>
      </c>
      <c r="E90" s="458">
        <f t="shared" si="3"/>
        <v>100</v>
      </c>
      <c r="F90" s="283">
        <v>1200</v>
      </c>
    </row>
    <row r="91" spans="1:6" s="3" customFormat="1" ht="25.5" x14ac:dyDescent="0.2">
      <c r="A91" s="456" t="s">
        <v>539</v>
      </c>
      <c r="B91" s="457">
        <v>0</v>
      </c>
      <c r="C91" s="298">
        <v>1000000</v>
      </c>
      <c r="D91" s="446">
        <v>1000000</v>
      </c>
      <c r="E91" s="458">
        <f t="shared" si="3"/>
        <v>100</v>
      </c>
      <c r="F91" s="283">
        <v>1204</v>
      </c>
    </row>
    <row r="92" spans="1:6" s="3" customFormat="1" ht="25.5" x14ac:dyDescent="0.2">
      <c r="A92" s="456" t="s">
        <v>156</v>
      </c>
      <c r="B92" s="457">
        <v>0</v>
      </c>
      <c r="C92" s="298">
        <v>220000</v>
      </c>
      <c r="D92" s="446">
        <v>220000</v>
      </c>
      <c r="E92" s="458">
        <f t="shared" si="3"/>
        <v>100</v>
      </c>
      <c r="F92" s="283">
        <v>1216</v>
      </c>
    </row>
    <row r="93" spans="1:6" s="3" customFormat="1" ht="25.5" x14ac:dyDescent="0.2">
      <c r="A93" s="456" t="s">
        <v>149</v>
      </c>
      <c r="B93" s="457">
        <v>0</v>
      </c>
      <c r="C93" s="298">
        <v>300000</v>
      </c>
      <c r="D93" s="446">
        <v>300000</v>
      </c>
      <c r="E93" s="458">
        <f t="shared" si="3"/>
        <v>100</v>
      </c>
      <c r="F93" s="283">
        <v>1302</v>
      </c>
    </row>
    <row r="94" spans="1:6" s="3" customFormat="1" x14ac:dyDescent="0.2">
      <c r="A94" s="456" t="s">
        <v>161</v>
      </c>
      <c r="B94" s="457">
        <v>0</v>
      </c>
      <c r="C94" s="298">
        <v>200000</v>
      </c>
      <c r="D94" s="446">
        <v>200000</v>
      </c>
      <c r="E94" s="458">
        <f t="shared" si="3"/>
        <v>100</v>
      </c>
      <c r="F94" s="283">
        <v>1402</v>
      </c>
    </row>
    <row r="95" spans="1:6" s="3" customFormat="1" ht="25.5" x14ac:dyDescent="0.2">
      <c r="A95" s="456" t="s">
        <v>160</v>
      </c>
      <c r="B95" s="457">
        <v>0</v>
      </c>
      <c r="C95" s="298">
        <v>640000</v>
      </c>
      <c r="D95" s="446">
        <v>640000</v>
      </c>
      <c r="E95" s="458">
        <f t="shared" si="3"/>
        <v>100</v>
      </c>
      <c r="F95" s="283">
        <v>1465</v>
      </c>
    </row>
    <row r="96" spans="1:6" s="3" customFormat="1" x14ac:dyDescent="0.2">
      <c r="A96" s="456" t="s">
        <v>540</v>
      </c>
      <c r="B96" s="457">
        <v>0</v>
      </c>
      <c r="C96" s="298">
        <v>625224</v>
      </c>
      <c r="D96" s="446">
        <v>625224</v>
      </c>
      <c r="E96" s="458">
        <f t="shared" si="3"/>
        <v>100</v>
      </c>
      <c r="F96" s="283">
        <v>1150</v>
      </c>
    </row>
    <row r="97" spans="1:8" s="3" customFormat="1" ht="26.25" thickBot="1" x14ac:dyDescent="0.25">
      <c r="A97" s="467" t="s">
        <v>137</v>
      </c>
      <c r="B97" s="463">
        <v>0</v>
      </c>
      <c r="C97" s="464">
        <v>500000</v>
      </c>
      <c r="D97" s="452">
        <v>500000</v>
      </c>
      <c r="E97" s="465">
        <f t="shared" ref="E97" si="4">D97/C97*100</f>
        <v>100</v>
      </c>
      <c r="F97" s="283">
        <v>1221</v>
      </c>
    </row>
    <row r="98" spans="1:8" s="3" customFormat="1" ht="13.5" thickTop="1" x14ac:dyDescent="0.2">
      <c r="A98" s="278"/>
      <c r="B98" s="284"/>
      <c r="C98" s="284"/>
      <c r="D98" s="284"/>
      <c r="E98" s="258"/>
      <c r="F98" s="297"/>
    </row>
    <row r="99" spans="1:8" s="23" customFormat="1" ht="15.75" thickBot="1" x14ac:dyDescent="0.3">
      <c r="A99" s="18" t="s">
        <v>324</v>
      </c>
      <c r="B99" s="254"/>
      <c r="C99" s="254"/>
      <c r="D99" s="254"/>
      <c r="E99" s="228" t="s">
        <v>18</v>
      </c>
    </row>
    <row r="100" spans="1:8" ht="14.25" thickTop="1" thickBot="1" x14ac:dyDescent="0.25">
      <c r="A100" s="16" t="s">
        <v>5</v>
      </c>
      <c r="B100" s="229" t="s">
        <v>0</v>
      </c>
      <c r="C100" s="230" t="s">
        <v>1</v>
      </c>
      <c r="D100" s="231" t="s">
        <v>4</v>
      </c>
      <c r="E100" s="215" t="s">
        <v>6</v>
      </c>
      <c r="F100" s="1"/>
    </row>
    <row r="101" spans="1:8" ht="15.75" thickTop="1" x14ac:dyDescent="0.25">
      <c r="A101" s="90" t="s">
        <v>7</v>
      </c>
      <c r="B101" s="285">
        <f>SUM(B102:B102)</f>
        <v>0</v>
      </c>
      <c r="C101" s="285">
        <f>SUM(C102:C102)</f>
        <v>230000</v>
      </c>
      <c r="D101" s="285">
        <f>SUM(D102:D102)</f>
        <v>159150</v>
      </c>
      <c r="E101" s="286">
        <f t="shared" ref="E101:E102" si="5">D101/C101*100</f>
        <v>69.195652173913047</v>
      </c>
      <c r="F101" s="13"/>
    </row>
    <row r="102" spans="1:8" s="3" customFormat="1" ht="13.5" thickBot="1" x14ac:dyDescent="0.25">
      <c r="A102" s="468" t="s">
        <v>139</v>
      </c>
      <c r="B102" s="463">
        <v>0</v>
      </c>
      <c r="C102" s="464">
        <v>230000</v>
      </c>
      <c r="D102" s="452">
        <v>159150</v>
      </c>
      <c r="E102" s="465">
        <f t="shared" si="5"/>
        <v>69.195652173913047</v>
      </c>
      <c r="F102" s="45">
        <v>60001000000</v>
      </c>
    </row>
    <row r="103" spans="1:8" s="3" customFormat="1" ht="13.5" thickTop="1" x14ac:dyDescent="0.2">
      <c r="A103" s="278"/>
      <c r="B103" s="284"/>
      <c r="C103" s="284"/>
      <c r="D103" s="284"/>
      <c r="E103" s="258"/>
      <c r="F103" s="297"/>
    </row>
    <row r="104" spans="1:8" s="53" customFormat="1" ht="18.75" thickBot="1" x14ac:dyDescent="0.3">
      <c r="A104" s="54" t="s">
        <v>33</v>
      </c>
      <c r="B104" s="235">
        <f>B7+B81+B101</f>
        <v>69533000</v>
      </c>
      <c r="C104" s="235">
        <f>C7+C81+C101</f>
        <v>60279397.960000001</v>
      </c>
      <c r="D104" s="235">
        <f>D7+D81+D101</f>
        <v>57639732.469999999</v>
      </c>
      <c r="E104" s="255">
        <f>D104/C104*100</f>
        <v>95.620949147913478</v>
      </c>
    </row>
    <row r="105" spans="1:8" s="53" customFormat="1" ht="18.75" thickTop="1" x14ac:dyDescent="0.25">
      <c r="A105" s="55"/>
      <c r="B105" s="236"/>
      <c r="C105" s="236"/>
      <c r="D105" s="236"/>
      <c r="E105" s="256"/>
    </row>
    <row r="106" spans="1:8" s="53" customFormat="1" ht="18" x14ac:dyDescent="0.25">
      <c r="A106" s="55"/>
      <c r="B106" s="236"/>
      <c r="C106" s="236"/>
      <c r="D106" s="236"/>
      <c r="E106" s="256"/>
    </row>
    <row r="107" spans="1:8" s="23" customFormat="1" ht="18.75" customHeight="1" x14ac:dyDescent="0.25">
      <c r="A107" s="17" t="s">
        <v>60</v>
      </c>
      <c r="B107" s="27"/>
      <c r="C107" s="27"/>
      <c r="D107" s="27"/>
      <c r="E107" s="228"/>
    </row>
    <row r="108" spans="1:8" s="23" customFormat="1" ht="15.75" thickBot="1" x14ac:dyDescent="0.3">
      <c r="A108" s="18" t="s">
        <v>31</v>
      </c>
      <c r="B108" s="254"/>
      <c r="C108" s="254"/>
      <c r="D108" s="254"/>
      <c r="E108" s="228" t="s">
        <v>18</v>
      </c>
    </row>
    <row r="109" spans="1:8" ht="14.25" thickTop="1" thickBot="1" x14ac:dyDescent="0.25">
      <c r="A109" s="16" t="s">
        <v>5</v>
      </c>
      <c r="B109" s="229" t="s">
        <v>0</v>
      </c>
      <c r="C109" s="230" t="s">
        <v>1</v>
      </c>
      <c r="D109" s="231" t="s">
        <v>4</v>
      </c>
      <c r="E109" s="215" t="s">
        <v>6</v>
      </c>
      <c r="F109" s="1"/>
    </row>
    <row r="110" spans="1:8" ht="16.5" thickTop="1" thickBot="1" x14ac:dyDescent="0.25">
      <c r="A110" s="90" t="s">
        <v>9</v>
      </c>
      <c r="B110" s="15">
        <f>SUM(B111:B143)</f>
        <v>77146000</v>
      </c>
      <c r="C110" s="293">
        <f>SUM(C111:C143)</f>
        <v>35760849.82</v>
      </c>
      <c r="D110" s="285">
        <f>SUM(D111:D143)</f>
        <v>31470327.950000007</v>
      </c>
      <c r="E110" s="292">
        <f t="shared" ref="E110:E143" si="6">D110/C110*100</f>
        <v>88.002181459344314</v>
      </c>
      <c r="F110" s="1"/>
      <c r="H110" s="355"/>
    </row>
    <row r="111" spans="1:8" ht="25.5" x14ac:dyDescent="0.2">
      <c r="A111" s="450" t="s">
        <v>201</v>
      </c>
      <c r="B111" s="417">
        <v>0</v>
      </c>
      <c r="C111" s="459">
        <v>2240000</v>
      </c>
      <c r="D111" s="417">
        <v>1266839.05</v>
      </c>
      <c r="E111" s="458">
        <f>D111/C111*100</f>
        <v>56.555314732142861</v>
      </c>
      <c r="F111" s="287">
        <v>60002100091</v>
      </c>
    </row>
    <row r="112" spans="1:8" ht="25.5" x14ac:dyDescent="0.2">
      <c r="A112" s="460" t="s">
        <v>587</v>
      </c>
      <c r="B112" s="417">
        <v>200000</v>
      </c>
      <c r="C112" s="459">
        <v>947259</v>
      </c>
      <c r="D112" s="422">
        <v>947259</v>
      </c>
      <c r="E112" s="458">
        <f t="shared" ref="E112:E140" si="7">D112/C112*100</f>
        <v>100</v>
      </c>
      <c r="F112" s="288">
        <v>60002100262</v>
      </c>
    </row>
    <row r="113" spans="1:6" x14ac:dyDescent="0.2">
      <c r="A113" s="469" t="s">
        <v>588</v>
      </c>
      <c r="B113" s="431">
        <v>200000</v>
      </c>
      <c r="C113" s="134">
        <v>250000</v>
      </c>
      <c r="D113" s="417">
        <v>237240</v>
      </c>
      <c r="E113" s="458">
        <f t="shared" si="7"/>
        <v>94.896000000000001</v>
      </c>
      <c r="F113" s="280" t="s">
        <v>199</v>
      </c>
    </row>
    <row r="114" spans="1:6" x14ac:dyDescent="0.2">
      <c r="A114" s="470" t="s">
        <v>181</v>
      </c>
      <c r="B114" s="471">
        <v>2461000</v>
      </c>
      <c r="C114" s="472">
        <v>1942279</v>
      </c>
      <c r="D114" s="417">
        <v>1928723</v>
      </c>
      <c r="E114" s="458">
        <f t="shared" si="7"/>
        <v>99.302057016525438</v>
      </c>
      <c r="F114" s="289">
        <v>60002100403</v>
      </c>
    </row>
    <row r="115" spans="1:6" x14ac:dyDescent="0.2">
      <c r="A115" s="456" t="s">
        <v>589</v>
      </c>
      <c r="B115" s="431">
        <v>1459000</v>
      </c>
      <c r="C115" s="134">
        <v>1458494</v>
      </c>
      <c r="D115" s="431">
        <v>1458494</v>
      </c>
      <c r="E115" s="458">
        <f t="shared" si="7"/>
        <v>100</v>
      </c>
      <c r="F115" s="290" t="s">
        <v>200</v>
      </c>
    </row>
    <row r="116" spans="1:6" x14ac:dyDescent="0.2">
      <c r="A116" s="456" t="s">
        <v>26</v>
      </c>
      <c r="B116" s="431">
        <v>2890000</v>
      </c>
      <c r="C116" s="134">
        <v>2768873</v>
      </c>
      <c r="D116" s="431">
        <v>2768873</v>
      </c>
      <c r="E116" s="458">
        <f t="shared" si="7"/>
        <v>100</v>
      </c>
      <c r="F116" s="290">
        <v>60002100516</v>
      </c>
    </row>
    <row r="117" spans="1:6" ht="13.5" thickBot="1" x14ac:dyDescent="0.25">
      <c r="A117" s="467" t="s">
        <v>590</v>
      </c>
      <c r="B117" s="434">
        <v>5886000</v>
      </c>
      <c r="C117" s="473">
        <v>4623647.4000000004</v>
      </c>
      <c r="D117" s="434">
        <v>4623647.4000000004</v>
      </c>
      <c r="E117" s="465">
        <f t="shared" si="7"/>
        <v>100</v>
      </c>
      <c r="F117" s="290">
        <v>60002100521</v>
      </c>
    </row>
    <row r="118" spans="1:6" s="23" customFormat="1" ht="16.5" thickTop="1" thickBot="1" x14ac:dyDescent="0.3">
      <c r="A118" s="18"/>
      <c r="B118" s="254"/>
      <c r="C118" s="254"/>
      <c r="D118" s="254"/>
      <c r="E118" s="228" t="s">
        <v>18</v>
      </c>
    </row>
    <row r="119" spans="1:6" ht="14.25" thickTop="1" thickBot="1" x14ac:dyDescent="0.25">
      <c r="A119" s="16" t="s">
        <v>5</v>
      </c>
      <c r="B119" s="229" t="s">
        <v>0</v>
      </c>
      <c r="C119" s="230" t="s">
        <v>1</v>
      </c>
      <c r="D119" s="231" t="s">
        <v>4</v>
      </c>
      <c r="E119" s="215" t="s">
        <v>6</v>
      </c>
      <c r="F119" s="1"/>
    </row>
    <row r="120" spans="1:6" s="3" customFormat="1" ht="26.25" thickTop="1" x14ac:dyDescent="0.2">
      <c r="A120" s="456" t="s">
        <v>591</v>
      </c>
      <c r="B120" s="417">
        <v>9840000</v>
      </c>
      <c r="C120" s="459">
        <v>1150000</v>
      </c>
      <c r="D120" s="417">
        <v>123000</v>
      </c>
      <c r="E120" s="458">
        <f t="shared" si="7"/>
        <v>10.695652173913043</v>
      </c>
      <c r="F120" s="290">
        <v>60002100523</v>
      </c>
    </row>
    <row r="121" spans="1:6" x14ac:dyDescent="0.2">
      <c r="A121" s="456" t="s">
        <v>182</v>
      </c>
      <c r="B121" s="431">
        <v>1739000</v>
      </c>
      <c r="C121" s="134">
        <v>1646328</v>
      </c>
      <c r="D121" s="431">
        <v>1646328</v>
      </c>
      <c r="E121" s="458">
        <f t="shared" si="7"/>
        <v>100</v>
      </c>
      <c r="F121" s="290">
        <v>60002100527</v>
      </c>
    </row>
    <row r="122" spans="1:6" x14ac:dyDescent="0.2">
      <c r="A122" s="456" t="s">
        <v>421</v>
      </c>
      <c r="B122" s="431">
        <v>15000000</v>
      </c>
      <c r="C122" s="134">
        <v>5000000</v>
      </c>
      <c r="D122" s="431">
        <v>4088239</v>
      </c>
      <c r="E122" s="458">
        <f t="shared" si="7"/>
        <v>81.764780000000002</v>
      </c>
      <c r="F122" s="290">
        <v>60002100529</v>
      </c>
    </row>
    <row r="123" spans="1:6" x14ac:dyDescent="0.2">
      <c r="A123" s="456" t="s">
        <v>183</v>
      </c>
      <c r="B123" s="431">
        <v>696000</v>
      </c>
      <c r="C123" s="134">
        <v>487079</v>
      </c>
      <c r="D123" s="431">
        <v>487079</v>
      </c>
      <c r="E123" s="458">
        <f t="shared" si="7"/>
        <v>100</v>
      </c>
      <c r="F123" s="290">
        <v>60002100681</v>
      </c>
    </row>
    <row r="124" spans="1:6" x14ac:dyDescent="0.2">
      <c r="A124" s="456" t="s">
        <v>184</v>
      </c>
      <c r="B124" s="431">
        <v>1455000</v>
      </c>
      <c r="C124" s="134">
        <v>1348856</v>
      </c>
      <c r="D124" s="431">
        <v>1348856</v>
      </c>
      <c r="E124" s="458">
        <f t="shared" si="7"/>
        <v>100</v>
      </c>
      <c r="F124" s="290">
        <v>60002100682</v>
      </c>
    </row>
    <row r="125" spans="1:6" x14ac:dyDescent="0.2">
      <c r="A125" s="456" t="s">
        <v>185</v>
      </c>
      <c r="B125" s="431">
        <v>450000</v>
      </c>
      <c r="C125" s="134">
        <v>97752</v>
      </c>
      <c r="D125" s="431">
        <v>97752</v>
      </c>
      <c r="E125" s="458">
        <f t="shared" si="7"/>
        <v>100</v>
      </c>
      <c r="F125" s="290">
        <v>60002100683</v>
      </c>
    </row>
    <row r="126" spans="1:6" x14ac:dyDescent="0.2">
      <c r="A126" s="456" t="s">
        <v>592</v>
      </c>
      <c r="B126" s="431">
        <v>5530000</v>
      </c>
      <c r="C126" s="134">
        <v>3998831</v>
      </c>
      <c r="D126" s="431">
        <v>3998831</v>
      </c>
      <c r="E126" s="458">
        <f t="shared" si="7"/>
        <v>100</v>
      </c>
      <c r="F126" s="290">
        <v>60002100684</v>
      </c>
    </row>
    <row r="127" spans="1:6" x14ac:dyDescent="0.2">
      <c r="A127" s="456" t="s">
        <v>593</v>
      </c>
      <c r="B127" s="431">
        <v>100000</v>
      </c>
      <c r="C127" s="134">
        <v>98400</v>
      </c>
      <c r="D127" s="431">
        <v>98400</v>
      </c>
      <c r="E127" s="458">
        <f t="shared" si="7"/>
        <v>100</v>
      </c>
      <c r="F127" s="290">
        <v>60002100690</v>
      </c>
    </row>
    <row r="128" spans="1:6" s="3" customFormat="1" ht="25.5" x14ac:dyDescent="0.2">
      <c r="A128" s="456" t="s">
        <v>594</v>
      </c>
      <c r="B128" s="417">
        <v>500000</v>
      </c>
      <c r="C128" s="459">
        <v>325200</v>
      </c>
      <c r="D128" s="417">
        <v>325200</v>
      </c>
      <c r="E128" s="458">
        <f t="shared" si="7"/>
        <v>100</v>
      </c>
      <c r="F128" s="290">
        <v>60002100753</v>
      </c>
    </row>
    <row r="129" spans="1:6" x14ac:dyDescent="0.2">
      <c r="A129" s="456" t="s">
        <v>186</v>
      </c>
      <c r="B129" s="431">
        <v>750000</v>
      </c>
      <c r="C129" s="134">
        <v>355320</v>
      </c>
      <c r="D129" s="431">
        <v>355320</v>
      </c>
      <c r="E129" s="458">
        <f t="shared" si="7"/>
        <v>100</v>
      </c>
      <c r="F129" s="290">
        <v>60002100754</v>
      </c>
    </row>
    <row r="130" spans="1:6" s="3" customFormat="1" ht="15" customHeight="1" x14ac:dyDescent="0.2">
      <c r="A130" s="456" t="s">
        <v>187</v>
      </c>
      <c r="B130" s="417">
        <v>500000</v>
      </c>
      <c r="C130" s="459">
        <v>64200</v>
      </c>
      <c r="D130" s="417">
        <v>64200</v>
      </c>
      <c r="E130" s="458">
        <f t="shared" si="7"/>
        <v>100</v>
      </c>
      <c r="F130" s="290">
        <v>60002100755</v>
      </c>
    </row>
    <row r="131" spans="1:6" x14ac:dyDescent="0.2">
      <c r="A131" s="456" t="s">
        <v>188</v>
      </c>
      <c r="B131" s="431">
        <v>12120000</v>
      </c>
      <c r="C131" s="134">
        <v>63600</v>
      </c>
      <c r="D131" s="431">
        <v>63600</v>
      </c>
      <c r="E131" s="458">
        <f t="shared" si="7"/>
        <v>100</v>
      </c>
      <c r="F131" s="290">
        <v>60002100756</v>
      </c>
    </row>
    <row r="132" spans="1:6" x14ac:dyDescent="0.2">
      <c r="A132" s="456" t="s">
        <v>189</v>
      </c>
      <c r="B132" s="431">
        <v>4900000</v>
      </c>
      <c r="C132" s="134">
        <v>0</v>
      </c>
      <c r="D132" s="431">
        <v>0</v>
      </c>
      <c r="E132" s="458">
        <v>0</v>
      </c>
      <c r="F132" s="290">
        <v>60002100757</v>
      </c>
    </row>
    <row r="133" spans="1:6" x14ac:dyDescent="0.2">
      <c r="A133" s="456" t="s">
        <v>190</v>
      </c>
      <c r="B133" s="431">
        <v>900000</v>
      </c>
      <c r="C133" s="134">
        <v>0</v>
      </c>
      <c r="D133" s="431">
        <v>0</v>
      </c>
      <c r="E133" s="458">
        <v>0</v>
      </c>
      <c r="F133" s="290">
        <v>60002100758</v>
      </c>
    </row>
    <row r="134" spans="1:6" x14ac:dyDescent="0.2">
      <c r="A134" s="456" t="s">
        <v>191</v>
      </c>
      <c r="B134" s="431">
        <v>1550000</v>
      </c>
      <c r="C134" s="134">
        <v>1551937</v>
      </c>
      <c r="D134" s="431">
        <v>1551937</v>
      </c>
      <c r="E134" s="458">
        <f t="shared" si="7"/>
        <v>100</v>
      </c>
      <c r="F134" s="290">
        <v>60002100759</v>
      </c>
    </row>
    <row r="135" spans="1:6" x14ac:dyDescent="0.2">
      <c r="A135" s="456" t="s">
        <v>192</v>
      </c>
      <c r="B135" s="431">
        <v>500000</v>
      </c>
      <c r="C135" s="134">
        <v>394951.42</v>
      </c>
      <c r="D135" s="431">
        <v>394951.42</v>
      </c>
      <c r="E135" s="458">
        <f t="shared" si="7"/>
        <v>100</v>
      </c>
      <c r="F135" s="290">
        <v>60002100760</v>
      </c>
    </row>
    <row r="136" spans="1:6" x14ac:dyDescent="0.2">
      <c r="A136" s="460" t="s">
        <v>193</v>
      </c>
      <c r="B136" s="471">
        <v>700000</v>
      </c>
      <c r="C136" s="472">
        <v>200000</v>
      </c>
      <c r="D136" s="471">
        <v>147280</v>
      </c>
      <c r="E136" s="458">
        <f t="shared" si="7"/>
        <v>73.64</v>
      </c>
      <c r="F136" s="288">
        <v>60002100761</v>
      </c>
    </row>
    <row r="137" spans="1:6" x14ac:dyDescent="0.2">
      <c r="A137" s="460" t="s">
        <v>194</v>
      </c>
      <c r="B137" s="471">
        <v>1200000</v>
      </c>
      <c r="C137" s="472">
        <v>1440525.2</v>
      </c>
      <c r="D137" s="471">
        <v>1365482</v>
      </c>
      <c r="E137" s="458">
        <f t="shared" si="7"/>
        <v>94.790566662769947</v>
      </c>
      <c r="F137" s="288">
        <v>60002100762</v>
      </c>
    </row>
    <row r="138" spans="1:6" x14ac:dyDescent="0.2">
      <c r="A138" s="460" t="s">
        <v>195</v>
      </c>
      <c r="B138" s="471">
        <v>200000</v>
      </c>
      <c r="C138" s="471">
        <v>438434</v>
      </c>
      <c r="D138" s="417">
        <v>438434</v>
      </c>
      <c r="E138" s="466">
        <f t="shared" si="7"/>
        <v>100</v>
      </c>
      <c r="F138" s="288">
        <v>60002100763</v>
      </c>
    </row>
    <row r="139" spans="1:6" x14ac:dyDescent="0.2">
      <c r="A139" s="460" t="s">
        <v>196</v>
      </c>
      <c r="B139" s="471">
        <v>500000</v>
      </c>
      <c r="C139" s="472">
        <v>621040.80000000005</v>
      </c>
      <c r="D139" s="471">
        <v>621040.80000000005</v>
      </c>
      <c r="E139" s="458">
        <f t="shared" si="7"/>
        <v>100</v>
      </c>
      <c r="F139" s="288">
        <v>60002100764</v>
      </c>
    </row>
    <row r="140" spans="1:6" x14ac:dyDescent="0.2">
      <c r="A140" s="460" t="s">
        <v>197</v>
      </c>
      <c r="B140" s="431">
        <v>550000</v>
      </c>
      <c r="C140" s="134">
        <v>447843</v>
      </c>
      <c r="D140" s="417">
        <v>447843</v>
      </c>
      <c r="E140" s="458">
        <f t="shared" si="7"/>
        <v>100</v>
      </c>
      <c r="F140" s="283">
        <v>60002100765</v>
      </c>
    </row>
    <row r="141" spans="1:6" x14ac:dyDescent="0.2">
      <c r="A141" s="460" t="s">
        <v>198</v>
      </c>
      <c r="B141" s="471">
        <v>4370000</v>
      </c>
      <c r="C141" s="472">
        <v>0</v>
      </c>
      <c r="D141" s="417">
        <v>0</v>
      </c>
      <c r="E141" s="458">
        <v>0</v>
      </c>
      <c r="F141" s="288">
        <v>60002100766</v>
      </c>
    </row>
    <row r="142" spans="1:6" x14ac:dyDescent="0.2">
      <c r="A142" s="460" t="s">
        <v>202</v>
      </c>
      <c r="B142" s="471">
        <v>0</v>
      </c>
      <c r="C142" s="472">
        <v>900000</v>
      </c>
      <c r="D142" s="471">
        <v>19920</v>
      </c>
      <c r="E142" s="458">
        <f t="shared" si="6"/>
        <v>2.2133333333333334</v>
      </c>
      <c r="F142" s="288">
        <v>60002100801</v>
      </c>
    </row>
    <row r="143" spans="1:6" ht="13.5" thickBot="1" x14ac:dyDescent="0.25">
      <c r="A143" s="474" t="s">
        <v>203</v>
      </c>
      <c r="B143" s="434">
        <v>0</v>
      </c>
      <c r="C143" s="473">
        <v>900000</v>
      </c>
      <c r="D143" s="434">
        <v>555559.28</v>
      </c>
      <c r="E143" s="465">
        <f t="shared" si="6"/>
        <v>61.728808888888899</v>
      </c>
      <c r="F143" s="291">
        <v>60002100809</v>
      </c>
    </row>
    <row r="144" spans="1:6" ht="14.25" customHeight="1" thickTop="1" x14ac:dyDescent="0.2">
      <c r="A144" s="37"/>
      <c r="B144" s="89"/>
      <c r="C144" s="89"/>
      <c r="D144" s="89"/>
      <c r="E144" s="258"/>
      <c r="F144" s="10"/>
    </row>
    <row r="145" spans="1:9" s="23" customFormat="1" ht="15.75" thickBot="1" x14ac:dyDescent="0.3">
      <c r="A145" s="18" t="s">
        <v>32</v>
      </c>
      <c r="B145" s="254"/>
      <c r="C145" s="254"/>
      <c r="D145" s="254"/>
      <c r="E145" s="228" t="s">
        <v>18</v>
      </c>
    </row>
    <row r="146" spans="1:9" ht="14.25" thickTop="1" thickBot="1" x14ac:dyDescent="0.25">
      <c r="A146" s="16" t="s">
        <v>5</v>
      </c>
      <c r="B146" s="229" t="s">
        <v>0</v>
      </c>
      <c r="C146" s="230" t="s">
        <v>1</v>
      </c>
      <c r="D146" s="231" t="s">
        <v>4</v>
      </c>
      <c r="E146" s="215" t="s">
        <v>6</v>
      </c>
      <c r="F146" s="1"/>
    </row>
    <row r="147" spans="1:9" ht="15.75" thickTop="1" x14ac:dyDescent="0.25">
      <c r="A147" s="90" t="s">
        <v>9</v>
      </c>
      <c r="B147" s="285">
        <f>SUM(B148:B211)</f>
        <v>17353000</v>
      </c>
      <c r="C147" s="285">
        <f>SUM(C148:C211)</f>
        <v>16032083</v>
      </c>
      <c r="D147" s="285">
        <f>SUM(D148:D211)</f>
        <v>16032083</v>
      </c>
      <c r="E147" s="286">
        <f t="shared" ref="E147:E211" si="8">D147/C147*100</f>
        <v>100</v>
      </c>
      <c r="F147" s="13"/>
    </row>
    <row r="148" spans="1:9" s="3" customFormat="1" x14ac:dyDescent="0.2">
      <c r="A148" s="456" t="s">
        <v>204</v>
      </c>
      <c r="B148" s="457">
        <v>70000</v>
      </c>
      <c r="C148" s="457">
        <f>70000-20494</f>
        <v>49506</v>
      </c>
      <c r="D148" s="457">
        <f>70000-20494</f>
        <v>49506</v>
      </c>
      <c r="E148" s="458">
        <f t="shared" si="8"/>
        <v>100</v>
      </c>
      <c r="F148" s="283">
        <v>60002001631</v>
      </c>
      <c r="G148" s="352"/>
    </row>
    <row r="149" spans="1:9" s="3" customFormat="1" x14ac:dyDescent="0.2">
      <c r="A149" s="456" t="s">
        <v>538</v>
      </c>
      <c r="B149" s="457">
        <v>0</v>
      </c>
      <c r="C149" s="457">
        <v>22500</v>
      </c>
      <c r="D149" s="457">
        <v>22500</v>
      </c>
      <c r="E149" s="458">
        <f t="shared" si="8"/>
        <v>100</v>
      </c>
      <c r="F149" s="283"/>
      <c r="G149" s="352"/>
    </row>
    <row r="150" spans="1:9" s="3" customFormat="1" x14ac:dyDescent="0.2">
      <c r="A150" s="456" t="s">
        <v>205</v>
      </c>
      <c r="B150" s="457">
        <v>250000</v>
      </c>
      <c r="C150" s="457">
        <v>250000</v>
      </c>
      <c r="D150" s="457">
        <v>250000</v>
      </c>
      <c r="E150" s="458">
        <f t="shared" si="8"/>
        <v>100</v>
      </c>
      <c r="F150" s="283">
        <v>60002001632</v>
      </c>
      <c r="G150" s="352"/>
    </row>
    <row r="151" spans="1:9" s="3" customFormat="1" x14ac:dyDescent="0.2">
      <c r="A151" s="456" t="s">
        <v>206</v>
      </c>
      <c r="B151" s="457">
        <v>176000</v>
      </c>
      <c r="C151" s="457">
        <f>176000-7280</f>
        <v>168720</v>
      </c>
      <c r="D151" s="457">
        <f>176000-7280</f>
        <v>168720</v>
      </c>
      <c r="E151" s="458">
        <f t="shared" si="8"/>
        <v>100</v>
      </c>
      <c r="F151" s="283">
        <v>60002001633</v>
      </c>
      <c r="G151" s="352"/>
      <c r="I151" s="352"/>
    </row>
    <row r="152" spans="1:9" s="3" customFormat="1" x14ac:dyDescent="0.2">
      <c r="A152" s="456" t="s">
        <v>207</v>
      </c>
      <c r="B152" s="457">
        <v>203000</v>
      </c>
      <c r="C152" s="457">
        <f>203000-16063</f>
        <v>186937</v>
      </c>
      <c r="D152" s="457">
        <f>203000-16063</f>
        <v>186937</v>
      </c>
      <c r="E152" s="458">
        <f t="shared" si="8"/>
        <v>100</v>
      </c>
      <c r="F152" s="283">
        <v>60002001633</v>
      </c>
      <c r="G152" s="352"/>
    </row>
    <row r="153" spans="1:9" s="3" customFormat="1" x14ac:dyDescent="0.2">
      <c r="A153" s="456" t="s">
        <v>208</v>
      </c>
      <c r="B153" s="457">
        <v>80000</v>
      </c>
      <c r="C153" s="457">
        <f>80000-1496</f>
        <v>78504</v>
      </c>
      <c r="D153" s="457">
        <f>80000-1496</f>
        <v>78504</v>
      </c>
      <c r="E153" s="458">
        <f t="shared" si="8"/>
        <v>100</v>
      </c>
      <c r="F153" s="283">
        <v>60002001633</v>
      </c>
      <c r="G153" s="352"/>
      <c r="H153" s="352"/>
    </row>
    <row r="154" spans="1:9" s="3" customFormat="1" x14ac:dyDescent="0.2">
      <c r="A154" s="456" t="s">
        <v>209</v>
      </c>
      <c r="B154" s="457">
        <v>220000</v>
      </c>
      <c r="C154" s="457">
        <f>220000-200</f>
        <v>219800</v>
      </c>
      <c r="D154" s="457">
        <f>220000-200</f>
        <v>219800</v>
      </c>
      <c r="E154" s="458">
        <f t="shared" si="8"/>
        <v>100</v>
      </c>
      <c r="F154" s="283">
        <v>60002001633</v>
      </c>
      <c r="G154" s="352"/>
    </row>
    <row r="155" spans="1:9" s="3" customFormat="1" x14ac:dyDescent="0.2">
      <c r="A155" s="456" t="s">
        <v>210</v>
      </c>
      <c r="B155" s="457">
        <v>270000</v>
      </c>
      <c r="C155" s="457">
        <f>270000-100</f>
        <v>269900</v>
      </c>
      <c r="D155" s="457">
        <f>270000-100</f>
        <v>269900</v>
      </c>
      <c r="E155" s="458">
        <f t="shared" si="8"/>
        <v>100</v>
      </c>
      <c r="F155" s="283">
        <v>60002001633</v>
      </c>
      <c r="G155" s="352"/>
      <c r="H155" s="352"/>
    </row>
    <row r="156" spans="1:9" s="3" customFormat="1" x14ac:dyDescent="0.2">
      <c r="A156" s="456" t="s">
        <v>211</v>
      </c>
      <c r="B156" s="457">
        <v>190000</v>
      </c>
      <c r="C156" s="457">
        <f>190000-10804</f>
        <v>179196</v>
      </c>
      <c r="D156" s="457">
        <f>190000-10804</f>
        <v>179196</v>
      </c>
      <c r="E156" s="458">
        <f t="shared" si="8"/>
        <v>100</v>
      </c>
      <c r="F156" s="283">
        <v>60002001635</v>
      </c>
      <c r="G156" s="352"/>
    </row>
    <row r="157" spans="1:9" s="3" customFormat="1" x14ac:dyDescent="0.2">
      <c r="A157" s="456" t="s">
        <v>212</v>
      </c>
      <c r="B157" s="457">
        <v>280000</v>
      </c>
      <c r="C157" s="457">
        <f>280000-400</f>
        <v>279600</v>
      </c>
      <c r="D157" s="457">
        <f>280000-400</f>
        <v>279600</v>
      </c>
      <c r="E157" s="458">
        <f t="shared" si="8"/>
        <v>100</v>
      </c>
      <c r="F157" s="283">
        <v>60002001635</v>
      </c>
      <c r="G157" s="352"/>
    </row>
    <row r="158" spans="1:9" s="3" customFormat="1" x14ac:dyDescent="0.2">
      <c r="A158" s="456" t="s">
        <v>213</v>
      </c>
      <c r="B158" s="457">
        <v>155000</v>
      </c>
      <c r="C158" s="457">
        <f>155000-787</f>
        <v>154213</v>
      </c>
      <c r="D158" s="457">
        <f>155000-787</f>
        <v>154213</v>
      </c>
      <c r="E158" s="458">
        <f t="shared" si="8"/>
        <v>100</v>
      </c>
      <c r="F158" s="283">
        <v>60002001635</v>
      </c>
      <c r="G158" s="352"/>
      <c r="H158" s="352"/>
      <c r="I158" s="352"/>
    </row>
    <row r="159" spans="1:9" s="3" customFormat="1" ht="25.5" x14ac:dyDescent="0.2">
      <c r="A159" s="456" t="s">
        <v>214</v>
      </c>
      <c r="B159" s="457">
        <v>250000</v>
      </c>
      <c r="C159" s="457">
        <f>250000-28840</f>
        <v>221160</v>
      </c>
      <c r="D159" s="457">
        <f>250000-28840</f>
        <v>221160</v>
      </c>
      <c r="E159" s="458">
        <f t="shared" si="8"/>
        <v>100</v>
      </c>
      <c r="F159" s="283">
        <v>60002001636</v>
      </c>
      <c r="G159" s="352"/>
    </row>
    <row r="160" spans="1:9" s="3" customFormat="1" x14ac:dyDescent="0.2">
      <c r="A160" s="456" t="s">
        <v>215</v>
      </c>
      <c r="B160" s="457">
        <v>360000</v>
      </c>
      <c r="C160" s="457">
        <f>360000-70725</f>
        <v>289275</v>
      </c>
      <c r="D160" s="457">
        <f>360000-70725</f>
        <v>289275</v>
      </c>
      <c r="E160" s="458">
        <f t="shared" si="8"/>
        <v>100</v>
      </c>
      <c r="F160" s="283">
        <v>60002001637</v>
      </c>
      <c r="G160" s="352"/>
    </row>
    <row r="161" spans="1:9" s="3" customFormat="1" x14ac:dyDescent="0.2">
      <c r="A161" s="456" t="s">
        <v>216</v>
      </c>
      <c r="B161" s="457">
        <v>210000</v>
      </c>
      <c r="C161" s="457">
        <f>210000-10875</f>
        <v>199125</v>
      </c>
      <c r="D161" s="457">
        <f>210000-10875</f>
        <v>199125</v>
      </c>
      <c r="E161" s="458">
        <f t="shared" si="8"/>
        <v>100</v>
      </c>
      <c r="F161" s="283">
        <v>60002001637</v>
      </c>
      <c r="G161" s="352"/>
    </row>
    <row r="162" spans="1:9" s="3" customFormat="1" x14ac:dyDescent="0.2">
      <c r="A162" s="456" t="s">
        <v>217</v>
      </c>
      <c r="B162" s="457">
        <v>80000</v>
      </c>
      <c r="C162" s="457">
        <v>80000</v>
      </c>
      <c r="D162" s="457">
        <v>80000</v>
      </c>
      <c r="E162" s="458">
        <f t="shared" si="8"/>
        <v>100</v>
      </c>
      <c r="F162" s="283">
        <v>60002001638</v>
      </c>
      <c r="G162" s="352"/>
      <c r="H162" s="352"/>
      <c r="I162" s="352"/>
    </row>
    <row r="163" spans="1:9" s="3" customFormat="1" x14ac:dyDescent="0.2">
      <c r="A163" s="456" t="s">
        <v>218</v>
      </c>
      <c r="B163" s="457">
        <v>300000</v>
      </c>
      <c r="C163" s="457">
        <f>300000-15000</f>
        <v>285000</v>
      </c>
      <c r="D163" s="457">
        <f>300000-15000</f>
        <v>285000</v>
      </c>
      <c r="E163" s="458">
        <f t="shared" si="8"/>
        <v>100</v>
      </c>
      <c r="F163" s="283">
        <v>60002001638</v>
      </c>
      <c r="G163" s="352"/>
    </row>
    <row r="164" spans="1:9" s="3" customFormat="1" x14ac:dyDescent="0.2">
      <c r="A164" s="456" t="s">
        <v>219</v>
      </c>
      <c r="B164" s="457">
        <v>200000</v>
      </c>
      <c r="C164" s="457">
        <f>200000-2632</f>
        <v>197368</v>
      </c>
      <c r="D164" s="457">
        <f>200000-2632</f>
        <v>197368</v>
      </c>
      <c r="E164" s="458">
        <f t="shared" si="8"/>
        <v>100</v>
      </c>
      <c r="F164" s="283">
        <v>60002001638</v>
      </c>
      <c r="G164" s="352"/>
    </row>
    <row r="165" spans="1:9" s="3" customFormat="1" x14ac:dyDescent="0.2">
      <c r="A165" s="456" t="s">
        <v>220</v>
      </c>
      <c r="B165" s="457">
        <v>400000</v>
      </c>
      <c r="C165" s="457">
        <v>400000</v>
      </c>
      <c r="D165" s="457">
        <v>400000</v>
      </c>
      <c r="E165" s="458">
        <f t="shared" si="8"/>
        <v>100</v>
      </c>
      <c r="F165" s="283">
        <v>60002001638</v>
      </c>
      <c r="G165" s="352"/>
    </row>
    <row r="166" spans="1:9" s="3" customFormat="1" x14ac:dyDescent="0.2">
      <c r="A166" s="456" t="s">
        <v>221</v>
      </c>
      <c r="B166" s="457">
        <v>700000</v>
      </c>
      <c r="C166" s="457">
        <f>700000-82600</f>
        <v>617400</v>
      </c>
      <c r="D166" s="457">
        <f>700000-82600</f>
        <v>617400</v>
      </c>
      <c r="E166" s="458">
        <f t="shared" si="8"/>
        <v>100</v>
      </c>
      <c r="F166" s="283">
        <v>60002001638</v>
      </c>
      <c r="G166" s="352"/>
      <c r="H166" s="352"/>
      <c r="I166" s="352"/>
    </row>
    <row r="167" spans="1:9" s="3" customFormat="1" ht="25.5" x14ac:dyDescent="0.2">
      <c r="A167" s="456" t="s">
        <v>262</v>
      </c>
      <c r="B167" s="457">
        <v>260000</v>
      </c>
      <c r="C167" s="457">
        <f>260000-39495</f>
        <v>220505</v>
      </c>
      <c r="D167" s="457">
        <f>260000-39495</f>
        <v>220505</v>
      </c>
      <c r="E167" s="458">
        <f t="shared" si="8"/>
        <v>100</v>
      </c>
      <c r="F167" s="283">
        <v>60002001639</v>
      </c>
      <c r="G167" s="352"/>
    </row>
    <row r="168" spans="1:9" s="3" customFormat="1" ht="15" customHeight="1" x14ac:dyDescent="0.2">
      <c r="A168" s="456" t="s">
        <v>222</v>
      </c>
      <c r="B168" s="457">
        <v>289000</v>
      </c>
      <c r="C168" s="457">
        <v>289000</v>
      </c>
      <c r="D168" s="457">
        <v>289000</v>
      </c>
      <c r="E168" s="458">
        <f t="shared" si="8"/>
        <v>100</v>
      </c>
      <c r="F168" s="283">
        <v>60002001639</v>
      </c>
      <c r="G168" s="352"/>
    </row>
    <row r="169" spans="1:9" s="3" customFormat="1" x14ac:dyDescent="0.2">
      <c r="A169" s="456" t="s">
        <v>261</v>
      </c>
      <c r="B169" s="457">
        <v>190000</v>
      </c>
      <c r="C169" s="457">
        <f>190000-42870</f>
        <v>147130</v>
      </c>
      <c r="D169" s="457">
        <f>190000-42870</f>
        <v>147130</v>
      </c>
      <c r="E169" s="458">
        <f t="shared" si="8"/>
        <v>100</v>
      </c>
      <c r="F169" s="283">
        <v>60002001639</v>
      </c>
      <c r="G169" s="352"/>
    </row>
    <row r="170" spans="1:9" s="3" customFormat="1" ht="25.5" x14ac:dyDescent="0.2">
      <c r="A170" s="456" t="s">
        <v>223</v>
      </c>
      <c r="B170" s="457">
        <v>1520000</v>
      </c>
      <c r="C170" s="457">
        <f>1520000-19092</f>
        <v>1500908</v>
      </c>
      <c r="D170" s="457">
        <f>1520000-19092</f>
        <v>1500908</v>
      </c>
      <c r="E170" s="458">
        <f t="shared" si="8"/>
        <v>100</v>
      </c>
      <c r="F170" s="283">
        <v>60002001639</v>
      </c>
      <c r="G170" s="352"/>
      <c r="H170" s="352"/>
      <c r="I170" s="352"/>
    </row>
    <row r="171" spans="1:9" s="3" customFormat="1" x14ac:dyDescent="0.2">
      <c r="A171" s="456" t="s">
        <v>620</v>
      </c>
      <c r="B171" s="457">
        <v>200000</v>
      </c>
      <c r="C171" s="457">
        <v>200000</v>
      </c>
      <c r="D171" s="457">
        <v>200000</v>
      </c>
      <c r="E171" s="458">
        <f t="shared" si="8"/>
        <v>100</v>
      </c>
      <c r="F171" s="283">
        <v>60002001640</v>
      </c>
      <c r="G171" s="352"/>
    </row>
    <row r="172" spans="1:9" s="3" customFormat="1" x14ac:dyDescent="0.2">
      <c r="A172" s="456" t="s">
        <v>224</v>
      </c>
      <c r="B172" s="457">
        <v>280000</v>
      </c>
      <c r="C172" s="457">
        <f>280000-2715</f>
        <v>277285</v>
      </c>
      <c r="D172" s="457">
        <f>280000-2715</f>
        <v>277285</v>
      </c>
      <c r="E172" s="458">
        <f t="shared" si="8"/>
        <v>100</v>
      </c>
      <c r="F172" s="283">
        <v>60002001642</v>
      </c>
      <c r="G172" s="352"/>
    </row>
    <row r="173" spans="1:9" s="3" customFormat="1" x14ac:dyDescent="0.2">
      <c r="A173" s="456" t="s">
        <v>225</v>
      </c>
      <c r="B173" s="457">
        <v>700000</v>
      </c>
      <c r="C173" s="457">
        <f>700000-2320</f>
        <v>697680</v>
      </c>
      <c r="D173" s="457">
        <f>700000-2320</f>
        <v>697680</v>
      </c>
      <c r="E173" s="458">
        <f t="shared" si="8"/>
        <v>100</v>
      </c>
      <c r="F173" s="283">
        <v>60002001642</v>
      </c>
      <c r="G173" s="352"/>
      <c r="H173" s="352"/>
      <c r="I173" s="352"/>
    </row>
    <row r="174" spans="1:9" s="3" customFormat="1" x14ac:dyDescent="0.2">
      <c r="A174" s="456" t="s">
        <v>226</v>
      </c>
      <c r="B174" s="457">
        <v>400000</v>
      </c>
      <c r="C174" s="457">
        <f>400000-2320</f>
        <v>397680</v>
      </c>
      <c r="D174" s="457">
        <f>400000-2320</f>
        <v>397680</v>
      </c>
      <c r="E174" s="458">
        <f t="shared" si="8"/>
        <v>100</v>
      </c>
      <c r="F174" s="283">
        <v>60002001645</v>
      </c>
      <c r="G174" s="352"/>
    </row>
    <row r="175" spans="1:9" s="3" customFormat="1" x14ac:dyDescent="0.2">
      <c r="A175" s="456" t="s">
        <v>227</v>
      </c>
      <c r="B175" s="457">
        <v>300000</v>
      </c>
      <c r="C175" s="457">
        <f>300000-2790</f>
        <v>297210</v>
      </c>
      <c r="D175" s="457">
        <f>300000-2790</f>
        <v>297210</v>
      </c>
      <c r="E175" s="458">
        <f t="shared" si="8"/>
        <v>100</v>
      </c>
      <c r="F175" s="283">
        <v>60002001645</v>
      </c>
      <c r="G175" s="352"/>
    </row>
    <row r="176" spans="1:9" s="3" customFormat="1" x14ac:dyDescent="0.2">
      <c r="A176" s="456" t="s">
        <v>228</v>
      </c>
      <c r="B176" s="457">
        <v>150000</v>
      </c>
      <c r="C176" s="457">
        <f>150000-31243</f>
        <v>118757</v>
      </c>
      <c r="D176" s="457">
        <f>150000-31243</f>
        <v>118757</v>
      </c>
      <c r="E176" s="458">
        <f t="shared" si="8"/>
        <v>100</v>
      </c>
      <c r="F176" s="283">
        <v>60002001645</v>
      </c>
      <c r="G176" s="352"/>
    </row>
    <row r="177" spans="1:9" s="3" customFormat="1" x14ac:dyDescent="0.2">
      <c r="A177" s="456" t="s">
        <v>229</v>
      </c>
      <c r="B177" s="457">
        <v>300000</v>
      </c>
      <c r="C177" s="457">
        <f>300000-89100</f>
        <v>210900</v>
      </c>
      <c r="D177" s="457">
        <f>300000-89100</f>
        <v>210900</v>
      </c>
      <c r="E177" s="458">
        <f t="shared" si="8"/>
        <v>100</v>
      </c>
      <c r="F177" s="283">
        <v>60002001645</v>
      </c>
      <c r="G177" s="352"/>
    </row>
    <row r="178" spans="1:9" s="3" customFormat="1" x14ac:dyDescent="0.2">
      <c r="A178" s="456" t="s">
        <v>230</v>
      </c>
      <c r="B178" s="457">
        <v>50000</v>
      </c>
      <c r="C178" s="457">
        <f>50000-550</f>
        <v>49450</v>
      </c>
      <c r="D178" s="457">
        <f>50000-550</f>
        <v>49450</v>
      </c>
      <c r="E178" s="458">
        <f t="shared" si="8"/>
        <v>100</v>
      </c>
      <c r="F178" s="283">
        <v>60002001645</v>
      </c>
      <c r="G178" s="352"/>
    </row>
    <row r="179" spans="1:9" s="3" customFormat="1" x14ac:dyDescent="0.2">
      <c r="A179" s="456" t="s">
        <v>231</v>
      </c>
      <c r="B179" s="457">
        <v>600000</v>
      </c>
      <c r="C179" s="457">
        <f>600000-3005</f>
        <v>596995</v>
      </c>
      <c r="D179" s="457">
        <f>600000-3005</f>
        <v>596995</v>
      </c>
      <c r="E179" s="458">
        <f t="shared" si="8"/>
        <v>100</v>
      </c>
      <c r="F179" s="283">
        <v>60002001645</v>
      </c>
      <c r="G179" s="352"/>
    </row>
    <row r="180" spans="1:9" s="3" customFormat="1" x14ac:dyDescent="0.2">
      <c r="A180" s="456" t="s">
        <v>232</v>
      </c>
      <c r="B180" s="457">
        <v>250000</v>
      </c>
      <c r="C180" s="457">
        <f>250000-4232</f>
        <v>245768</v>
      </c>
      <c r="D180" s="457">
        <f>250000-4232</f>
        <v>245768</v>
      </c>
      <c r="E180" s="458">
        <f t="shared" si="8"/>
        <v>100</v>
      </c>
      <c r="F180" s="283">
        <v>60002001645</v>
      </c>
      <c r="G180" s="352"/>
      <c r="H180" s="352"/>
      <c r="I180" s="352"/>
    </row>
    <row r="181" spans="1:9" s="3" customFormat="1" x14ac:dyDescent="0.2">
      <c r="A181" s="456" t="s">
        <v>233</v>
      </c>
      <c r="B181" s="457">
        <v>150000</v>
      </c>
      <c r="C181" s="457">
        <v>150000</v>
      </c>
      <c r="D181" s="457">
        <v>150000</v>
      </c>
      <c r="E181" s="458">
        <f t="shared" si="8"/>
        <v>100</v>
      </c>
      <c r="F181" s="283">
        <v>60002001646</v>
      </c>
      <c r="G181" s="352"/>
    </row>
    <row r="182" spans="1:9" s="3" customFormat="1" x14ac:dyDescent="0.2">
      <c r="A182" s="456" t="s">
        <v>234</v>
      </c>
      <c r="B182" s="457">
        <v>330000</v>
      </c>
      <c r="C182" s="457">
        <f>330000-200</f>
        <v>329800</v>
      </c>
      <c r="D182" s="457">
        <f>330000-200</f>
        <v>329800</v>
      </c>
      <c r="E182" s="458">
        <f t="shared" si="8"/>
        <v>100</v>
      </c>
      <c r="F182" s="283">
        <v>60002001650</v>
      </c>
      <c r="G182" s="352"/>
    </row>
    <row r="183" spans="1:9" s="3" customFormat="1" x14ac:dyDescent="0.2">
      <c r="A183" s="456" t="s">
        <v>235</v>
      </c>
      <c r="B183" s="457">
        <v>200000</v>
      </c>
      <c r="C183" s="457">
        <f>200000-283</f>
        <v>199717</v>
      </c>
      <c r="D183" s="457">
        <f>200000-283</f>
        <v>199717</v>
      </c>
      <c r="E183" s="458">
        <f t="shared" si="8"/>
        <v>100</v>
      </c>
      <c r="F183" s="283">
        <v>60002001650</v>
      </c>
      <c r="G183" s="352"/>
    </row>
    <row r="184" spans="1:9" s="3" customFormat="1" x14ac:dyDescent="0.2">
      <c r="A184" s="456" t="s">
        <v>236</v>
      </c>
      <c r="B184" s="457">
        <v>60000</v>
      </c>
      <c r="C184" s="457">
        <f>60000-378</f>
        <v>59622</v>
      </c>
      <c r="D184" s="457">
        <f>60000-378</f>
        <v>59622</v>
      </c>
      <c r="E184" s="458">
        <f t="shared" si="8"/>
        <v>100</v>
      </c>
      <c r="F184" s="283">
        <v>60002001650</v>
      </c>
      <c r="G184" s="352"/>
    </row>
    <row r="185" spans="1:9" s="3" customFormat="1" x14ac:dyDescent="0.2">
      <c r="A185" s="456" t="s">
        <v>237</v>
      </c>
      <c r="B185" s="457">
        <v>400000</v>
      </c>
      <c r="C185" s="457">
        <f>400000-5383</f>
        <v>394617</v>
      </c>
      <c r="D185" s="457">
        <f>400000-5383</f>
        <v>394617</v>
      </c>
      <c r="E185" s="458">
        <f t="shared" si="8"/>
        <v>100</v>
      </c>
      <c r="F185" s="283">
        <v>60002001650</v>
      </c>
      <c r="G185" s="352"/>
      <c r="H185" s="352"/>
      <c r="I185" s="352"/>
    </row>
    <row r="186" spans="1:9" s="3" customFormat="1" x14ac:dyDescent="0.2">
      <c r="A186" s="456" t="s">
        <v>238</v>
      </c>
      <c r="B186" s="457">
        <v>228000</v>
      </c>
      <c r="C186" s="457">
        <f>228000-64098</f>
        <v>163902</v>
      </c>
      <c r="D186" s="457">
        <f>228000-64098</f>
        <v>163902</v>
      </c>
      <c r="E186" s="458">
        <f t="shared" si="8"/>
        <v>100</v>
      </c>
      <c r="F186" s="283">
        <v>60002001652</v>
      </c>
      <c r="G186" s="352"/>
    </row>
    <row r="187" spans="1:9" s="3" customFormat="1" x14ac:dyDescent="0.2">
      <c r="A187" s="456" t="s">
        <v>239</v>
      </c>
      <c r="B187" s="457">
        <v>192000</v>
      </c>
      <c r="C187" s="457">
        <f>192000-72414</f>
        <v>119586</v>
      </c>
      <c r="D187" s="457">
        <f>192000-72414</f>
        <v>119586</v>
      </c>
      <c r="E187" s="458">
        <f t="shared" si="8"/>
        <v>100</v>
      </c>
      <c r="F187" s="283">
        <v>60002001652</v>
      </c>
      <c r="G187" s="352"/>
      <c r="H187" s="352"/>
      <c r="I187" s="352"/>
    </row>
    <row r="188" spans="1:9" s="3" customFormat="1" x14ac:dyDescent="0.2">
      <c r="A188" s="456" t="s">
        <v>240</v>
      </c>
      <c r="B188" s="457">
        <v>150000</v>
      </c>
      <c r="C188" s="457">
        <f>150000-88812</f>
        <v>61188</v>
      </c>
      <c r="D188" s="457">
        <f>150000-88812</f>
        <v>61188</v>
      </c>
      <c r="E188" s="458">
        <f t="shared" si="8"/>
        <v>100</v>
      </c>
      <c r="F188" s="283">
        <v>60002001653</v>
      </c>
      <c r="G188" s="352"/>
    </row>
    <row r="189" spans="1:9" s="3" customFormat="1" x14ac:dyDescent="0.2">
      <c r="A189" s="456" t="s">
        <v>241</v>
      </c>
      <c r="B189" s="457">
        <v>150000</v>
      </c>
      <c r="C189" s="457">
        <f>150000-11239</f>
        <v>138761</v>
      </c>
      <c r="D189" s="457">
        <f>150000-11239</f>
        <v>138761</v>
      </c>
      <c r="E189" s="466">
        <f t="shared" si="8"/>
        <v>100</v>
      </c>
      <c r="F189" s="283">
        <v>60002001654</v>
      </c>
      <c r="G189" s="352"/>
    </row>
    <row r="190" spans="1:9" s="3" customFormat="1" x14ac:dyDescent="0.2">
      <c r="A190" s="456" t="s">
        <v>242</v>
      </c>
      <c r="B190" s="457">
        <v>250000</v>
      </c>
      <c r="C190" s="457">
        <f>250000-1000</f>
        <v>249000</v>
      </c>
      <c r="D190" s="457">
        <f>250000-1000</f>
        <v>249000</v>
      </c>
      <c r="E190" s="458">
        <f t="shared" si="8"/>
        <v>100</v>
      </c>
      <c r="F190" s="283">
        <v>60002001654</v>
      </c>
      <c r="G190" s="352"/>
    </row>
    <row r="191" spans="1:9" s="3" customFormat="1" x14ac:dyDescent="0.2">
      <c r="A191" s="456" t="s">
        <v>243</v>
      </c>
      <c r="B191" s="457">
        <v>170000</v>
      </c>
      <c r="C191" s="457">
        <f>170000-25220</f>
        <v>144780</v>
      </c>
      <c r="D191" s="457">
        <f>170000-25220</f>
        <v>144780</v>
      </c>
      <c r="E191" s="458">
        <f t="shared" si="8"/>
        <v>100</v>
      </c>
      <c r="F191" s="283">
        <v>60002001654</v>
      </c>
      <c r="G191" s="352"/>
      <c r="H191" s="352"/>
      <c r="I191" s="352"/>
    </row>
    <row r="192" spans="1:9" s="3" customFormat="1" x14ac:dyDescent="0.2">
      <c r="A192" s="456" t="s">
        <v>244</v>
      </c>
      <c r="B192" s="457">
        <v>250000</v>
      </c>
      <c r="C192" s="457">
        <f>250000-1000</f>
        <v>249000</v>
      </c>
      <c r="D192" s="457">
        <f>250000-1000</f>
        <v>249000</v>
      </c>
      <c r="E192" s="458">
        <f t="shared" si="8"/>
        <v>100</v>
      </c>
      <c r="F192" s="283">
        <v>60002001655</v>
      </c>
      <c r="G192" s="352"/>
    </row>
    <row r="193" spans="1:9" s="3" customFormat="1" ht="13.5" thickBot="1" x14ac:dyDescent="0.25">
      <c r="A193" s="467" t="s">
        <v>244</v>
      </c>
      <c r="B193" s="463">
        <v>550000</v>
      </c>
      <c r="C193" s="463">
        <f>550000-116300</f>
        <v>433700</v>
      </c>
      <c r="D193" s="463">
        <f>550000-116300</f>
        <v>433700</v>
      </c>
      <c r="E193" s="465">
        <f t="shared" si="8"/>
        <v>100</v>
      </c>
      <c r="F193" s="283">
        <v>60002001655</v>
      </c>
      <c r="G193" s="352"/>
      <c r="H193" s="352"/>
      <c r="I193" s="352"/>
    </row>
    <row r="194" spans="1:9" s="23" customFormat="1" ht="16.5" thickTop="1" thickBot="1" x14ac:dyDescent="0.3">
      <c r="A194" s="18"/>
      <c r="B194" s="254"/>
      <c r="C194" s="254"/>
      <c r="D194" s="254"/>
      <c r="E194" s="228" t="s">
        <v>18</v>
      </c>
    </row>
    <row r="195" spans="1:9" ht="14.25" thickTop="1" thickBot="1" x14ac:dyDescent="0.25">
      <c r="A195" s="16" t="s">
        <v>5</v>
      </c>
      <c r="B195" s="229" t="s">
        <v>0</v>
      </c>
      <c r="C195" s="230" t="s">
        <v>1</v>
      </c>
      <c r="D195" s="231" t="s">
        <v>4</v>
      </c>
      <c r="E195" s="215" t="s">
        <v>6</v>
      </c>
      <c r="F195" s="1"/>
    </row>
    <row r="196" spans="1:9" s="3" customFormat="1" ht="13.5" thickTop="1" x14ac:dyDescent="0.2">
      <c r="A196" s="456" t="s">
        <v>245</v>
      </c>
      <c r="B196" s="457">
        <v>300000</v>
      </c>
      <c r="C196" s="457">
        <v>300000</v>
      </c>
      <c r="D196" s="457">
        <v>300000</v>
      </c>
      <c r="E196" s="458">
        <f t="shared" si="8"/>
        <v>100</v>
      </c>
      <c r="F196" s="283">
        <v>60002001656</v>
      </c>
      <c r="G196" s="352"/>
    </row>
    <row r="197" spans="1:9" s="3" customFormat="1" x14ac:dyDescent="0.2">
      <c r="A197" s="456" t="s">
        <v>246</v>
      </c>
      <c r="B197" s="457">
        <v>300000</v>
      </c>
      <c r="C197" s="457">
        <v>300000</v>
      </c>
      <c r="D197" s="457">
        <v>300000</v>
      </c>
      <c r="E197" s="458">
        <f t="shared" si="8"/>
        <v>100</v>
      </c>
      <c r="F197" s="283">
        <v>60002001657</v>
      </c>
      <c r="G197" s="352"/>
    </row>
    <row r="198" spans="1:9" s="3" customFormat="1" x14ac:dyDescent="0.2">
      <c r="A198" s="456" t="s">
        <v>247</v>
      </c>
      <c r="B198" s="457">
        <v>200000</v>
      </c>
      <c r="C198" s="457">
        <f>200000-479</f>
        <v>199521</v>
      </c>
      <c r="D198" s="457">
        <f>200000-479</f>
        <v>199521</v>
      </c>
      <c r="E198" s="458">
        <f t="shared" si="8"/>
        <v>100</v>
      </c>
      <c r="F198" s="283">
        <v>60002001657</v>
      </c>
      <c r="G198" s="352"/>
    </row>
    <row r="199" spans="1:9" s="3" customFormat="1" x14ac:dyDescent="0.2">
      <c r="A199" s="456" t="s">
        <v>248</v>
      </c>
      <c r="B199" s="457">
        <v>100000</v>
      </c>
      <c r="C199" s="457">
        <f>100000-2000</f>
        <v>98000</v>
      </c>
      <c r="D199" s="457">
        <f>100000-2000</f>
        <v>98000</v>
      </c>
      <c r="E199" s="458">
        <f t="shared" si="8"/>
        <v>100</v>
      </c>
      <c r="F199" s="283">
        <v>60002001657</v>
      </c>
      <c r="G199" s="352"/>
      <c r="H199" s="352"/>
    </row>
    <row r="200" spans="1:9" s="3" customFormat="1" x14ac:dyDescent="0.2">
      <c r="A200" s="456" t="s">
        <v>249</v>
      </c>
      <c r="B200" s="457">
        <v>200000</v>
      </c>
      <c r="C200" s="457">
        <v>200000</v>
      </c>
      <c r="D200" s="457">
        <v>200000</v>
      </c>
      <c r="E200" s="458">
        <f t="shared" si="8"/>
        <v>100</v>
      </c>
      <c r="F200" s="283">
        <v>60002001659</v>
      </c>
      <c r="G200" s="352"/>
    </row>
    <row r="201" spans="1:9" s="3" customFormat="1" x14ac:dyDescent="0.2">
      <c r="A201" s="456" t="s">
        <v>250</v>
      </c>
      <c r="B201" s="457">
        <v>500000</v>
      </c>
      <c r="C201" s="457">
        <f>500000-135395</f>
        <v>364605</v>
      </c>
      <c r="D201" s="457">
        <f>500000-135395</f>
        <v>364605</v>
      </c>
      <c r="E201" s="458">
        <f t="shared" si="8"/>
        <v>100</v>
      </c>
      <c r="F201" s="283">
        <v>60002001659</v>
      </c>
      <c r="G201" s="352"/>
    </row>
    <row r="202" spans="1:9" s="3" customFormat="1" x14ac:dyDescent="0.2">
      <c r="A202" s="456" t="s">
        <v>251</v>
      </c>
      <c r="B202" s="457">
        <v>250000</v>
      </c>
      <c r="C202" s="457">
        <f>250000-50956</f>
        <v>199044</v>
      </c>
      <c r="D202" s="457">
        <f>250000-50956</f>
        <v>199044</v>
      </c>
      <c r="E202" s="458">
        <f t="shared" si="8"/>
        <v>100</v>
      </c>
      <c r="F202" s="283">
        <v>60002001660</v>
      </c>
      <c r="G202" s="352"/>
    </row>
    <row r="203" spans="1:9" s="3" customFormat="1" x14ac:dyDescent="0.2">
      <c r="A203" s="456" t="s">
        <v>252</v>
      </c>
      <c r="B203" s="457">
        <v>300000</v>
      </c>
      <c r="C203" s="457">
        <f>300000-43110</f>
        <v>256890</v>
      </c>
      <c r="D203" s="457">
        <f>300000-43110</f>
        <v>256890</v>
      </c>
      <c r="E203" s="458">
        <f t="shared" si="8"/>
        <v>100</v>
      </c>
      <c r="F203" s="283">
        <v>60002001660</v>
      </c>
      <c r="G203" s="352"/>
    </row>
    <row r="204" spans="1:9" s="3" customFormat="1" x14ac:dyDescent="0.2">
      <c r="A204" s="456" t="s">
        <v>253</v>
      </c>
      <c r="B204" s="457">
        <v>300000</v>
      </c>
      <c r="C204" s="457">
        <f>300000-75306</f>
        <v>224694</v>
      </c>
      <c r="D204" s="457">
        <f>300000-75306</f>
        <v>224694</v>
      </c>
      <c r="E204" s="458">
        <f>D204/C204*100</f>
        <v>100</v>
      </c>
      <c r="F204" s="283">
        <v>60002001661</v>
      </c>
      <c r="G204" s="352"/>
    </row>
    <row r="205" spans="1:9" s="3" customFormat="1" x14ac:dyDescent="0.2">
      <c r="A205" s="456" t="s">
        <v>254</v>
      </c>
      <c r="B205" s="457">
        <v>150000</v>
      </c>
      <c r="C205" s="457">
        <f>150000-53400</f>
        <v>96600</v>
      </c>
      <c r="D205" s="457">
        <f>150000-53400</f>
        <v>96600</v>
      </c>
      <c r="E205" s="458">
        <f t="shared" si="8"/>
        <v>100</v>
      </c>
      <c r="F205" s="283">
        <v>60002001662</v>
      </c>
      <c r="G205" s="352"/>
    </row>
    <row r="206" spans="1:9" s="3" customFormat="1" x14ac:dyDescent="0.2">
      <c r="A206" s="456" t="s">
        <v>255</v>
      </c>
      <c r="B206" s="457">
        <v>130000</v>
      </c>
      <c r="C206" s="457">
        <f>130000-465</f>
        <v>129535</v>
      </c>
      <c r="D206" s="457">
        <f>130000-465</f>
        <v>129535</v>
      </c>
      <c r="E206" s="458">
        <f t="shared" si="8"/>
        <v>100</v>
      </c>
      <c r="F206" s="283">
        <v>60002001662</v>
      </c>
      <c r="G206" s="352"/>
    </row>
    <row r="207" spans="1:9" s="3" customFormat="1" x14ac:dyDescent="0.2">
      <c r="A207" s="456" t="s">
        <v>256</v>
      </c>
      <c r="B207" s="457">
        <v>200000</v>
      </c>
      <c r="C207" s="457">
        <f>200000-34700</f>
        <v>165300</v>
      </c>
      <c r="D207" s="457">
        <f>200000-34700</f>
        <v>165300</v>
      </c>
      <c r="E207" s="458">
        <f t="shared" si="8"/>
        <v>100</v>
      </c>
      <c r="F207" s="283">
        <v>60002001662</v>
      </c>
      <c r="G207" s="352"/>
    </row>
    <row r="208" spans="1:9" s="3" customFormat="1" x14ac:dyDescent="0.2">
      <c r="A208" s="456" t="s">
        <v>257</v>
      </c>
      <c r="B208" s="457">
        <v>850000</v>
      </c>
      <c r="C208" s="457">
        <f>850000-40453</f>
        <v>809547</v>
      </c>
      <c r="D208" s="457">
        <f>850000-40453</f>
        <v>809547</v>
      </c>
      <c r="E208" s="458">
        <f t="shared" si="8"/>
        <v>100</v>
      </c>
      <c r="F208" s="283">
        <v>60002001663</v>
      </c>
      <c r="G208" s="352"/>
    </row>
    <row r="209" spans="1:8" s="3" customFormat="1" x14ac:dyDescent="0.2">
      <c r="A209" s="456" t="s">
        <v>258</v>
      </c>
      <c r="B209" s="457">
        <v>130000</v>
      </c>
      <c r="C209" s="457">
        <f>130000-11463</f>
        <v>118537</v>
      </c>
      <c r="D209" s="457">
        <f>130000-11463</f>
        <v>118537</v>
      </c>
      <c r="E209" s="458">
        <f t="shared" si="8"/>
        <v>100</v>
      </c>
      <c r="F209" s="283">
        <v>60002001663</v>
      </c>
      <c r="G209" s="352"/>
    </row>
    <row r="210" spans="1:8" s="3" customFormat="1" x14ac:dyDescent="0.2">
      <c r="A210" s="456" t="s">
        <v>259</v>
      </c>
      <c r="B210" s="457">
        <v>150000</v>
      </c>
      <c r="C210" s="457">
        <f>150000-1335</f>
        <v>148665</v>
      </c>
      <c r="D210" s="457">
        <f>150000-1335</f>
        <v>148665</v>
      </c>
      <c r="E210" s="458">
        <f t="shared" si="8"/>
        <v>100</v>
      </c>
      <c r="F210" s="283">
        <v>60002001663</v>
      </c>
      <c r="G210" s="352"/>
    </row>
    <row r="211" spans="1:8" s="3" customFormat="1" ht="13.5" thickBot="1" x14ac:dyDescent="0.25">
      <c r="A211" s="467" t="s">
        <v>260</v>
      </c>
      <c r="B211" s="457">
        <v>330000</v>
      </c>
      <c r="C211" s="457">
        <v>330000</v>
      </c>
      <c r="D211" s="457">
        <v>330000</v>
      </c>
      <c r="E211" s="458">
        <f t="shared" si="8"/>
        <v>100</v>
      </c>
      <c r="F211" s="283">
        <v>60002001663</v>
      </c>
      <c r="G211" s="352"/>
      <c r="H211" s="352"/>
    </row>
    <row r="212" spans="1:8" s="3" customFormat="1" ht="13.5" thickTop="1" x14ac:dyDescent="0.2">
      <c r="A212" s="303"/>
      <c r="B212" s="304"/>
      <c r="C212" s="304"/>
      <c r="D212" s="305"/>
      <c r="E212" s="306"/>
      <c r="F212" s="299"/>
    </row>
    <row r="213" spans="1:8" ht="19.5" customHeight="1" thickBot="1" x14ac:dyDescent="0.3">
      <c r="A213" s="54" t="s">
        <v>34</v>
      </c>
      <c r="B213" s="235">
        <f>B110+B147</f>
        <v>94499000</v>
      </c>
      <c r="C213" s="235">
        <f>C110+C147</f>
        <v>51792932.82</v>
      </c>
      <c r="D213" s="235">
        <f>D110+D147</f>
        <v>47502410.950000003</v>
      </c>
      <c r="E213" s="255">
        <f>D213/C213*100</f>
        <v>91.716009045266503</v>
      </c>
      <c r="F213" s="10"/>
    </row>
    <row r="214" spans="1:8" ht="14.25" customHeight="1" thickTop="1" x14ac:dyDescent="0.2">
      <c r="A214" s="37"/>
      <c r="B214" s="89"/>
      <c r="C214" s="89"/>
      <c r="D214" s="89"/>
      <c r="E214" s="258"/>
      <c r="F214" s="10"/>
    </row>
    <row r="215" spans="1:8" ht="14.25" customHeight="1" x14ac:dyDescent="0.2">
      <c r="A215" s="37"/>
      <c r="B215" s="89"/>
      <c r="C215" s="89"/>
      <c r="D215" s="89"/>
      <c r="E215" s="258"/>
      <c r="F215" s="10"/>
    </row>
    <row r="216" spans="1:8" ht="14.25" customHeight="1" x14ac:dyDescent="0.2">
      <c r="A216" s="37"/>
      <c r="B216" s="89"/>
      <c r="C216" s="89"/>
      <c r="D216" s="89"/>
      <c r="E216" s="258"/>
      <c r="F216" s="10"/>
    </row>
    <row r="217" spans="1:8" s="23" customFormat="1" ht="18.75" customHeight="1" x14ac:dyDescent="0.25">
      <c r="A217" s="17" t="s">
        <v>62</v>
      </c>
      <c r="B217" s="27"/>
      <c r="C217" s="27"/>
      <c r="D217" s="27"/>
      <c r="E217" s="228"/>
    </row>
    <row r="218" spans="1:8" s="23" customFormat="1" ht="15.75" thickBot="1" x14ac:dyDescent="0.3">
      <c r="A218" s="18" t="s">
        <v>31</v>
      </c>
      <c r="B218" s="254"/>
      <c r="C218" s="254"/>
      <c r="D218" s="254"/>
      <c r="E218" s="228" t="s">
        <v>18</v>
      </c>
    </row>
    <row r="219" spans="1:8" ht="14.25" thickTop="1" thickBot="1" x14ac:dyDescent="0.25">
      <c r="A219" s="16" t="s">
        <v>5</v>
      </c>
      <c r="B219" s="229" t="s">
        <v>0</v>
      </c>
      <c r="C219" s="230" t="s">
        <v>1</v>
      </c>
      <c r="D219" s="231" t="s">
        <v>4</v>
      </c>
      <c r="E219" s="215" t="s">
        <v>6</v>
      </c>
      <c r="F219" s="1"/>
    </row>
    <row r="220" spans="1:8" ht="15.75" thickTop="1" x14ac:dyDescent="0.2">
      <c r="A220" s="90" t="s">
        <v>11</v>
      </c>
      <c r="B220" s="15">
        <f>SUM(B221:B249)</f>
        <v>32040000</v>
      </c>
      <c r="C220" s="14">
        <f>SUM(C221:C249)</f>
        <v>30557891.899999999</v>
      </c>
      <c r="D220" s="15">
        <f>SUM(D221:D249)</f>
        <v>23633772.09</v>
      </c>
      <c r="E220" s="257">
        <f t="shared" ref="E220:E249" si="9">D220/C220*100</f>
        <v>77.340976816532304</v>
      </c>
      <c r="F220" s="42"/>
    </row>
    <row r="221" spans="1:8" x14ac:dyDescent="0.2">
      <c r="A221" s="475" t="s">
        <v>356</v>
      </c>
      <c r="B221" s="476">
        <v>1210000</v>
      </c>
      <c r="C221" s="477">
        <v>755900</v>
      </c>
      <c r="D221" s="477">
        <v>755900</v>
      </c>
      <c r="E221" s="466">
        <f t="shared" si="9"/>
        <v>100</v>
      </c>
      <c r="F221" s="43">
        <v>60004100027</v>
      </c>
    </row>
    <row r="222" spans="1:8" x14ac:dyDescent="0.2">
      <c r="A222" s="475" t="s">
        <v>602</v>
      </c>
      <c r="B222" s="476">
        <v>600000</v>
      </c>
      <c r="C222" s="477">
        <v>27026.3</v>
      </c>
      <c r="D222" s="477">
        <v>27015.3</v>
      </c>
      <c r="E222" s="466">
        <f t="shared" si="9"/>
        <v>99.959298905140543</v>
      </c>
      <c r="F222" s="43">
        <v>60004100037</v>
      </c>
    </row>
    <row r="223" spans="1:8" x14ac:dyDescent="0.2">
      <c r="A223" s="475" t="s">
        <v>601</v>
      </c>
      <c r="B223" s="476">
        <v>100000</v>
      </c>
      <c r="C223" s="477">
        <v>506700</v>
      </c>
      <c r="D223" s="477">
        <v>506700</v>
      </c>
      <c r="E223" s="466">
        <f t="shared" si="9"/>
        <v>100</v>
      </c>
      <c r="F223" s="43">
        <v>60004100038</v>
      </c>
    </row>
    <row r="224" spans="1:8" x14ac:dyDescent="0.2">
      <c r="A224" s="475" t="s">
        <v>269</v>
      </c>
      <c r="B224" s="476">
        <v>0</v>
      </c>
      <c r="C224" s="477">
        <v>799000</v>
      </c>
      <c r="D224" s="477">
        <v>27163</v>
      </c>
      <c r="E224" s="466">
        <f t="shared" si="9"/>
        <v>3.399624530663329</v>
      </c>
      <c r="F224" s="43">
        <v>60004100040</v>
      </c>
    </row>
    <row r="225" spans="1:6" x14ac:dyDescent="0.2">
      <c r="A225" s="475" t="s">
        <v>527</v>
      </c>
      <c r="B225" s="476">
        <v>847000</v>
      </c>
      <c r="C225" s="477">
        <v>481000</v>
      </c>
      <c r="D225" s="477">
        <v>1750</v>
      </c>
      <c r="E225" s="466">
        <f t="shared" si="9"/>
        <v>0.36382536382536385</v>
      </c>
      <c r="F225" s="43">
        <v>60004100041</v>
      </c>
    </row>
    <row r="226" spans="1:6" ht="27.75" customHeight="1" thickBot="1" x14ac:dyDescent="0.25">
      <c r="A226" s="478" t="s">
        <v>603</v>
      </c>
      <c r="B226" s="479">
        <v>800000</v>
      </c>
      <c r="C226" s="480">
        <v>13000</v>
      </c>
      <c r="D226" s="480">
        <v>2600</v>
      </c>
      <c r="E226" s="481">
        <f t="shared" si="9"/>
        <v>20</v>
      </c>
      <c r="F226" s="43">
        <v>60004100052</v>
      </c>
    </row>
    <row r="227" spans="1:6" s="23" customFormat="1" ht="16.5" thickTop="1" thickBot="1" x14ac:dyDescent="0.3">
      <c r="A227" s="18"/>
      <c r="B227" s="254"/>
      <c r="C227" s="254"/>
      <c r="D227" s="254"/>
      <c r="E227" s="228" t="s">
        <v>18</v>
      </c>
    </row>
    <row r="228" spans="1:6" ht="14.25" thickTop="1" thickBot="1" x14ac:dyDescent="0.25">
      <c r="A228" s="16" t="s">
        <v>5</v>
      </c>
      <c r="B228" s="229" t="s">
        <v>0</v>
      </c>
      <c r="C228" s="230" t="s">
        <v>1</v>
      </c>
      <c r="D228" s="231" t="s">
        <v>4</v>
      </c>
      <c r="E228" s="215" t="s">
        <v>6</v>
      </c>
      <c r="F228" s="1"/>
    </row>
    <row r="229" spans="1:6" ht="13.5" thickTop="1" x14ac:dyDescent="0.2">
      <c r="A229" s="482" t="s">
        <v>604</v>
      </c>
      <c r="B229" s="476">
        <v>1500000</v>
      </c>
      <c r="C229" s="477">
        <v>285393.59999999998</v>
      </c>
      <c r="D229" s="477">
        <v>205978</v>
      </c>
      <c r="E229" s="466">
        <f t="shared" si="9"/>
        <v>72.173307320136132</v>
      </c>
      <c r="F229" s="43">
        <v>60004100112</v>
      </c>
    </row>
    <row r="230" spans="1:6" x14ac:dyDescent="0.2">
      <c r="A230" s="475" t="s">
        <v>270</v>
      </c>
      <c r="B230" s="476">
        <v>0</v>
      </c>
      <c r="C230" s="477">
        <v>4167000</v>
      </c>
      <c r="D230" s="477">
        <v>3022360</v>
      </c>
      <c r="E230" s="466">
        <f t="shared" si="9"/>
        <v>72.530837532997367</v>
      </c>
      <c r="F230" s="43">
        <v>60004100289</v>
      </c>
    </row>
    <row r="231" spans="1:6" x14ac:dyDescent="0.2">
      <c r="A231" s="475" t="s">
        <v>605</v>
      </c>
      <c r="B231" s="476">
        <v>316000</v>
      </c>
      <c r="C231" s="477">
        <v>315444</v>
      </c>
      <c r="D231" s="477">
        <v>315444</v>
      </c>
      <c r="E231" s="466">
        <f t="shared" si="9"/>
        <v>100</v>
      </c>
      <c r="F231" s="43">
        <v>60004100329</v>
      </c>
    </row>
    <row r="232" spans="1:6" x14ac:dyDescent="0.2">
      <c r="A232" s="475" t="s">
        <v>606</v>
      </c>
      <c r="B232" s="476">
        <v>1000000</v>
      </c>
      <c r="C232" s="477">
        <v>0</v>
      </c>
      <c r="D232" s="477">
        <v>0</v>
      </c>
      <c r="E232" s="466">
        <v>0</v>
      </c>
      <c r="F232" s="43">
        <v>60004100533</v>
      </c>
    </row>
    <row r="233" spans="1:6" x14ac:dyDescent="0.2">
      <c r="A233" s="475" t="s">
        <v>607</v>
      </c>
      <c r="B233" s="476">
        <v>1310000</v>
      </c>
      <c r="C233" s="477">
        <v>1476600</v>
      </c>
      <c r="D233" s="477">
        <v>1344782</v>
      </c>
      <c r="E233" s="466">
        <f t="shared" si="9"/>
        <v>91.072870107002572</v>
      </c>
      <c r="F233" s="43">
        <v>60004100535</v>
      </c>
    </row>
    <row r="234" spans="1:6" x14ac:dyDescent="0.2">
      <c r="A234" s="475" t="s">
        <v>263</v>
      </c>
      <c r="B234" s="476">
        <v>6301000</v>
      </c>
      <c r="C234" s="477">
        <v>4266438</v>
      </c>
      <c r="D234" s="477">
        <v>4154850.86</v>
      </c>
      <c r="E234" s="466">
        <f t="shared" si="9"/>
        <v>97.384536233738771</v>
      </c>
      <c r="F234" s="43">
        <v>60004100643</v>
      </c>
    </row>
    <row r="235" spans="1:6" x14ac:dyDescent="0.2">
      <c r="A235" s="475" t="s">
        <v>264</v>
      </c>
      <c r="B235" s="476">
        <v>8500000</v>
      </c>
      <c r="C235" s="477">
        <v>10889000</v>
      </c>
      <c r="D235" s="477">
        <v>9068308.7300000004</v>
      </c>
      <c r="E235" s="466">
        <f t="shared" si="9"/>
        <v>83.279536504729549</v>
      </c>
      <c r="F235" s="43">
        <v>60004100645</v>
      </c>
    </row>
    <row r="236" spans="1:6" x14ac:dyDescent="0.2">
      <c r="A236" s="475" t="s">
        <v>265</v>
      </c>
      <c r="B236" s="476">
        <v>1000000</v>
      </c>
      <c r="C236" s="477">
        <v>333600</v>
      </c>
      <c r="D236" s="477">
        <v>333600</v>
      </c>
      <c r="E236" s="466">
        <f t="shared" si="9"/>
        <v>100</v>
      </c>
      <c r="F236" s="43">
        <v>60004100646</v>
      </c>
    </row>
    <row r="237" spans="1:6" x14ac:dyDescent="0.2">
      <c r="A237" s="475" t="s">
        <v>266</v>
      </c>
      <c r="B237" s="476">
        <v>300000</v>
      </c>
      <c r="C237" s="477">
        <v>292640</v>
      </c>
      <c r="D237" s="477">
        <v>274056</v>
      </c>
      <c r="E237" s="466">
        <f t="shared" si="9"/>
        <v>93.649535265172219</v>
      </c>
      <c r="F237" s="43">
        <v>60004100647</v>
      </c>
    </row>
    <row r="238" spans="1:6" x14ac:dyDescent="0.2">
      <c r="A238" s="475" t="s">
        <v>608</v>
      </c>
      <c r="B238" s="476">
        <v>356000</v>
      </c>
      <c r="C238" s="477">
        <v>365080</v>
      </c>
      <c r="D238" s="477">
        <v>356680</v>
      </c>
      <c r="E238" s="466">
        <f t="shared" si="9"/>
        <v>97.699134436287935</v>
      </c>
      <c r="F238" s="43">
        <v>60004100671</v>
      </c>
    </row>
    <row r="239" spans="1:6" x14ac:dyDescent="0.2">
      <c r="A239" s="475" t="s">
        <v>609</v>
      </c>
      <c r="B239" s="476">
        <v>1000000</v>
      </c>
      <c r="C239" s="477">
        <v>344000</v>
      </c>
      <c r="D239" s="477">
        <v>339000</v>
      </c>
      <c r="E239" s="466">
        <f t="shared" si="9"/>
        <v>98.54651162790698</v>
      </c>
      <c r="F239" s="43">
        <v>60004100672</v>
      </c>
    </row>
    <row r="240" spans="1:6" x14ac:dyDescent="0.2">
      <c r="A240" s="475" t="s">
        <v>610</v>
      </c>
      <c r="B240" s="476">
        <v>1000000</v>
      </c>
      <c r="C240" s="477">
        <v>353200</v>
      </c>
      <c r="D240" s="477">
        <v>343200</v>
      </c>
      <c r="E240" s="466">
        <f t="shared" si="9"/>
        <v>97.168742921857316</v>
      </c>
      <c r="F240" s="43">
        <v>60004100673</v>
      </c>
    </row>
    <row r="241" spans="1:6" x14ac:dyDescent="0.2">
      <c r="A241" s="475" t="s">
        <v>611</v>
      </c>
      <c r="B241" s="476">
        <v>1000000</v>
      </c>
      <c r="C241" s="477">
        <v>919652</v>
      </c>
      <c r="D241" s="477">
        <v>4637</v>
      </c>
      <c r="E241" s="466">
        <f t="shared" si="9"/>
        <v>0.50421246297512545</v>
      </c>
      <c r="F241" s="43">
        <v>60004100674</v>
      </c>
    </row>
    <row r="242" spans="1:6" x14ac:dyDescent="0.2">
      <c r="A242" s="475" t="s">
        <v>612</v>
      </c>
      <c r="B242" s="476">
        <v>1000000</v>
      </c>
      <c r="C242" s="477">
        <v>699086</v>
      </c>
      <c r="D242" s="477">
        <v>381540</v>
      </c>
      <c r="E242" s="466">
        <f t="shared" si="9"/>
        <v>54.576976223240059</v>
      </c>
      <c r="F242" s="43">
        <v>60004100675</v>
      </c>
    </row>
    <row r="243" spans="1:6" x14ac:dyDescent="0.2">
      <c r="A243" s="475" t="s">
        <v>613</v>
      </c>
      <c r="B243" s="476">
        <v>600000</v>
      </c>
      <c r="C243" s="477">
        <v>615800</v>
      </c>
      <c r="D243" s="477">
        <v>456280</v>
      </c>
      <c r="E243" s="466">
        <f t="shared" si="9"/>
        <v>74.095485547255606</v>
      </c>
      <c r="F243" s="43">
        <v>60004100676</v>
      </c>
    </row>
    <row r="244" spans="1:6" x14ac:dyDescent="0.2">
      <c r="A244" s="475" t="s">
        <v>614</v>
      </c>
      <c r="B244" s="476">
        <v>400000</v>
      </c>
      <c r="C244" s="477">
        <v>438160</v>
      </c>
      <c r="D244" s="477">
        <v>0</v>
      </c>
      <c r="E244" s="466">
        <f t="shared" si="9"/>
        <v>0</v>
      </c>
      <c r="F244" s="43">
        <v>60004100677</v>
      </c>
    </row>
    <row r="245" spans="1:6" x14ac:dyDescent="0.2">
      <c r="A245" s="475" t="s">
        <v>615</v>
      </c>
      <c r="B245" s="476">
        <v>1300000</v>
      </c>
      <c r="C245" s="477">
        <v>1077200</v>
      </c>
      <c r="D245" s="477">
        <v>852740</v>
      </c>
      <c r="E245" s="466">
        <f t="shared" si="9"/>
        <v>79.162643891570738</v>
      </c>
      <c r="F245" s="43">
        <v>60004100678</v>
      </c>
    </row>
    <row r="246" spans="1:6" x14ac:dyDescent="0.2">
      <c r="A246" s="483" t="s">
        <v>616</v>
      </c>
      <c r="B246" s="476">
        <v>600000</v>
      </c>
      <c r="C246" s="477">
        <v>378760</v>
      </c>
      <c r="D246" s="477">
        <v>368760</v>
      </c>
      <c r="E246" s="466">
        <f t="shared" si="9"/>
        <v>97.359805681698177</v>
      </c>
      <c r="F246" s="43">
        <v>60004100679</v>
      </c>
    </row>
    <row r="247" spans="1:6" x14ac:dyDescent="0.2">
      <c r="A247" s="475" t="s">
        <v>617</v>
      </c>
      <c r="B247" s="476">
        <v>500000</v>
      </c>
      <c r="C247" s="477">
        <v>497640</v>
      </c>
      <c r="D247" s="477">
        <v>334427.2</v>
      </c>
      <c r="E247" s="466">
        <f t="shared" si="9"/>
        <v>67.202636444015766</v>
      </c>
      <c r="F247" s="43">
        <v>60004100680</v>
      </c>
    </row>
    <row r="248" spans="1:6" x14ac:dyDescent="0.2">
      <c r="A248" s="484" t="s">
        <v>267</v>
      </c>
      <c r="B248" s="476">
        <v>500000</v>
      </c>
      <c r="C248" s="485">
        <v>142972</v>
      </c>
      <c r="D248" s="485">
        <v>38400</v>
      </c>
      <c r="E248" s="466">
        <f t="shared" si="9"/>
        <v>26.85840584170327</v>
      </c>
      <c r="F248" s="44">
        <v>60004100781</v>
      </c>
    </row>
    <row r="249" spans="1:6" ht="15.75" customHeight="1" thickBot="1" x14ac:dyDescent="0.25">
      <c r="A249" s="468" t="s">
        <v>271</v>
      </c>
      <c r="B249" s="479">
        <v>0</v>
      </c>
      <c r="C249" s="486">
        <v>117600</v>
      </c>
      <c r="D249" s="486">
        <v>117600</v>
      </c>
      <c r="E249" s="481">
        <f t="shared" si="9"/>
        <v>100</v>
      </c>
      <c r="F249" s="44">
        <v>60004100798</v>
      </c>
    </row>
    <row r="250" spans="1:6" ht="14.25" customHeight="1" thickTop="1" x14ac:dyDescent="0.2">
      <c r="A250" s="37"/>
      <c r="B250" s="89"/>
      <c r="C250" s="89"/>
      <c r="D250" s="89"/>
      <c r="E250" s="258"/>
      <c r="F250" s="10"/>
    </row>
    <row r="251" spans="1:6" s="23" customFormat="1" ht="15.75" thickBot="1" x14ac:dyDescent="0.3">
      <c r="A251" s="18" t="s">
        <v>32</v>
      </c>
      <c r="B251" s="254"/>
      <c r="C251" s="254"/>
      <c r="D251" s="254"/>
      <c r="E251" s="228" t="s">
        <v>18</v>
      </c>
    </row>
    <row r="252" spans="1:6" ht="14.25" thickTop="1" thickBot="1" x14ac:dyDescent="0.25">
      <c r="A252" s="16" t="s">
        <v>5</v>
      </c>
      <c r="B252" s="229" t="s">
        <v>0</v>
      </c>
      <c r="C252" s="230" t="s">
        <v>1</v>
      </c>
      <c r="D252" s="231" t="s">
        <v>4</v>
      </c>
      <c r="E252" s="215" t="s">
        <v>6</v>
      </c>
      <c r="F252" s="1"/>
    </row>
    <row r="253" spans="1:6" ht="15.75" thickTop="1" x14ac:dyDescent="0.25">
      <c r="A253" s="90" t="s">
        <v>272</v>
      </c>
      <c r="B253" s="285">
        <f>SUM(B254:B256)</f>
        <v>9200000</v>
      </c>
      <c r="C253" s="285">
        <f>SUM(C254:C256)</f>
        <v>8954000</v>
      </c>
      <c r="D253" s="285">
        <f>SUM(D254:D256)</f>
        <v>8901840</v>
      </c>
      <c r="E253" s="286">
        <f t="shared" ref="E253:E256" si="10">D253/C253*100</f>
        <v>99.417467053830691</v>
      </c>
      <c r="F253" s="13"/>
    </row>
    <row r="254" spans="1:6" s="3" customFormat="1" x14ac:dyDescent="0.2">
      <c r="A254" s="487" t="s">
        <v>268</v>
      </c>
      <c r="B254" s="457">
        <v>8000000</v>
      </c>
      <c r="C254" s="298">
        <v>8000000</v>
      </c>
      <c r="D254" s="446">
        <v>8000000</v>
      </c>
      <c r="E254" s="458">
        <f t="shared" si="10"/>
        <v>100</v>
      </c>
      <c r="F254" s="45">
        <v>60004001600</v>
      </c>
    </row>
    <row r="255" spans="1:6" s="3" customFormat="1" x14ac:dyDescent="0.2">
      <c r="A255" s="487" t="s">
        <v>490</v>
      </c>
      <c r="B255" s="457">
        <v>1100000</v>
      </c>
      <c r="C255" s="298">
        <v>854000</v>
      </c>
      <c r="D255" s="446">
        <v>830812</v>
      </c>
      <c r="E255" s="458">
        <f t="shared" si="10"/>
        <v>97.284777517564407</v>
      </c>
      <c r="F255" s="45">
        <v>60004001599</v>
      </c>
    </row>
    <row r="256" spans="1:6" s="3" customFormat="1" ht="13.5" thickBot="1" x14ac:dyDescent="0.25">
      <c r="A256" s="488" t="s">
        <v>491</v>
      </c>
      <c r="B256" s="463">
        <v>100000</v>
      </c>
      <c r="C256" s="464">
        <v>100000</v>
      </c>
      <c r="D256" s="452">
        <v>71028</v>
      </c>
      <c r="E256" s="465">
        <f t="shared" si="10"/>
        <v>71.028000000000006</v>
      </c>
      <c r="F256" s="36">
        <v>60004001599</v>
      </c>
    </row>
    <row r="257" spans="1:6" ht="14.25" customHeight="1" thickTop="1" x14ac:dyDescent="0.2">
      <c r="A257" s="37"/>
      <c r="B257" s="89"/>
      <c r="C257" s="89"/>
      <c r="D257" s="89"/>
      <c r="E257" s="258"/>
      <c r="F257" s="10"/>
    </row>
    <row r="258" spans="1:6" s="23" customFormat="1" ht="18.75" customHeight="1" thickBot="1" x14ac:dyDescent="0.3">
      <c r="A258" s="54" t="s">
        <v>41</v>
      </c>
      <c r="B258" s="235">
        <f>B220+B253</f>
        <v>41240000</v>
      </c>
      <c r="C258" s="235">
        <f t="shared" ref="C258:D258" si="11">C220+C253</f>
        <v>39511891.899999999</v>
      </c>
      <c r="D258" s="235">
        <f t="shared" si="11"/>
        <v>32535612.09</v>
      </c>
      <c r="E258" s="255">
        <f>D258/C258*100</f>
        <v>82.343847701203089</v>
      </c>
    </row>
    <row r="259" spans="1:6" s="23" customFormat="1" ht="18.75" customHeight="1" thickTop="1" x14ac:dyDescent="0.25">
      <c r="A259" s="55"/>
      <c r="B259" s="236"/>
      <c r="C259" s="236"/>
      <c r="D259" s="236"/>
      <c r="E259" s="259"/>
    </row>
    <row r="260" spans="1:6" s="23" customFormat="1" ht="18" x14ac:dyDescent="0.25">
      <c r="A260" s="17" t="s">
        <v>61</v>
      </c>
      <c r="B260" s="27"/>
      <c r="C260" s="27"/>
      <c r="D260" s="27"/>
      <c r="E260" s="228"/>
    </row>
    <row r="261" spans="1:6" ht="15.75" thickBot="1" x14ac:dyDescent="0.3">
      <c r="A261" s="18" t="s">
        <v>31</v>
      </c>
      <c r="B261" s="254"/>
      <c r="C261" s="254"/>
      <c r="D261" s="254"/>
      <c r="E261" s="228" t="s">
        <v>18</v>
      </c>
      <c r="F261" s="1"/>
    </row>
    <row r="262" spans="1:6" ht="15.75" customHeight="1" thickTop="1" thickBot="1" x14ac:dyDescent="0.25">
      <c r="A262" s="16" t="s">
        <v>5</v>
      </c>
      <c r="B262" s="229" t="s">
        <v>0</v>
      </c>
      <c r="C262" s="230" t="s">
        <v>1</v>
      </c>
      <c r="D262" s="231" t="s">
        <v>4</v>
      </c>
      <c r="E262" s="215" t="s">
        <v>6</v>
      </c>
      <c r="F262" s="7" t="s">
        <v>2</v>
      </c>
    </row>
    <row r="263" spans="1:6" ht="15.75" thickTop="1" x14ac:dyDescent="0.2">
      <c r="A263" s="90" t="s">
        <v>8</v>
      </c>
      <c r="B263" s="15">
        <f>SUM(B264:B289)</f>
        <v>39612000</v>
      </c>
      <c r="C263" s="15">
        <f t="shared" ref="C263:D263" si="12">SUM(C264:C289)</f>
        <v>28399430.199999999</v>
      </c>
      <c r="D263" s="15">
        <f t="shared" si="12"/>
        <v>25761923.600000001</v>
      </c>
      <c r="E263" s="257">
        <f t="shared" ref="E263:E270" si="13">D263/C263*100</f>
        <v>90.712818597325253</v>
      </c>
      <c r="F263" s="35"/>
    </row>
    <row r="264" spans="1:6" ht="14.25" customHeight="1" x14ac:dyDescent="0.2">
      <c r="A264" s="489" t="s">
        <v>298</v>
      </c>
      <c r="B264" s="490">
        <v>0</v>
      </c>
      <c r="C264" s="485">
        <v>76900</v>
      </c>
      <c r="D264" s="485">
        <v>76900</v>
      </c>
      <c r="E264" s="491">
        <f t="shared" si="13"/>
        <v>100</v>
      </c>
      <c r="F264" s="38">
        <v>60003100198</v>
      </c>
    </row>
    <row r="265" spans="1:6" ht="14.25" customHeight="1" x14ac:dyDescent="0.2">
      <c r="A265" s="489" t="s">
        <v>280</v>
      </c>
      <c r="B265" s="490">
        <v>120000</v>
      </c>
      <c r="C265" s="485">
        <v>61208</v>
      </c>
      <c r="D265" s="485">
        <v>61208</v>
      </c>
      <c r="E265" s="491">
        <f t="shared" si="13"/>
        <v>100</v>
      </c>
      <c r="F265" s="38">
        <v>60003100283</v>
      </c>
    </row>
    <row r="266" spans="1:6" ht="14.25" customHeight="1" x14ac:dyDescent="0.2">
      <c r="A266" s="489" t="s">
        <v>281</v>
      </c>
      <c r="B266" s="490">
        <v>4391000</v>
      </c>
      <c r="C266" s="485">
        <v>2150000</v>
      </c>
      <c r="D266" s="485">
        <v>41424</v>
      </c>
      <c r="E266" s="491">
        <f t="shared" si="13"/>
        <v>1.9266976744186048</v>
      </c>
      <c r="F266" s="38">
        <v>60003100417</v>
      </c>
    </row>
    <row r="267" spans="1:6" ht="14.25" customHeight="1" x14ac:dyDescent="0.2">
      <c r="A267" s="489" t="s">
        <v>282</v>
      </c>
      <c r="B267" s="490">
        <v>2200000</v>
      </c>
      <c r="C267" s="485">
        <v>4642095</v>
      </c>
      <c r="D267" s="485">
        <v>4642095</v>
      </c>
      <c r="E267" s="491">
        <f t="shared" si="13"/>
        <v>100</v>
      </c>
      <c r="F267" s="38">
        <v>60003100422</v>
      </c>
    </row>
    <row r="268" spans="1:6" ht="14.25" customHeight="1" x14ac:dyDescent="0.2">
      <c r="A268" s="489" t="s">
        <v>283</v>
      </c>
      <c r="B268" s="490">
        <v>8869000</v>
      </c>
      <c r="C268" s="485">
        <v>18496666</v>
      </c>
      <c r="D268" s="485">
        <v>18496656</v>
      </c>
      <c r="E268" s="491">
        <f t="shared" si="13"/>
        <v>99.999945936202778</v>
      </c>
      <c r="F268" s="38">
        <v>60003100424</v>
      </c>
    </row>
    <row r="269" spans="1:6" ht="14.25" customHeight="1" x14ac:dyDescent="0.2">
      <c r="A269" s="489" t="s">
        <v>595</v>
      </c>
      <c r="B269" s="490">
        <v>794000</v>
      </c>
      <c r="C269" s="485">
        <v>0</v>
      </c>
      <c r="D269" s="485">
        <v>0</v>
      </c>
      <c r="E269" s="491">
        <v>0</v>
      </c>
      <c r="F269" s="38">
        <v>60003100634</v>
      </c>
    </row>
    <row r="270" spans="1:6" ht="14.25" customHeight="1" thickBot="1" x14ac:dyDescent="0.25">
      <c r="A270" s="492" t="s">
        <v>596</v>
      </c>
      <c r="B270" s="493">
        <v>500000</v>
      </c>
      <c r="C270" s="486">
        <v>24000</v>
      </c>
      <c r="D270" s="486">
        <v>24000</v>
      </c>
      <c r="E270" s="494">
        <f t="shared" si="13"/>
        <v>100</v>
      </c>
      <c r="F270" s="38">
        <v>60003100636</v>
      </c>
    </row>
    <row r="271" spans="1:6" s="23" customFormat="1" ht="16.5" thickTop="1" thickBot="1" x14ac:dyDescent="0.3">
      <c r="A271" s="18"/>
      <c r="B271" s="254"/>
      <c r="C271" s="254"/>
      <c r="D271" s="254"/>
      <c r="E271" s="228" t="s">
        <v>18</v>
      </c>
    </row>
    <row r="272" spans="1:6" ht="14.25" thickTop="1" thickBot="1" x14ac:dyDescent="0.25">
      <c r="A272" s="16" t="s">
        <v>5</v>
      </c>
      <c r="B272" s="229" t="s">
        <v>0</v>
      </c>
      <c r="C272" s="230" t="s">
        <v>1</v>
      </c>
      <c r="D272" s="231" t="s">
        <v>4</v>
      </c>
      <c r="E272" s="215" t="s">
        <v>6</v>
      </c>
      <c r="F272" s="1"/>
    </row>
    <row r="273" spans="1:6" ht="14.25" customHeight="1" thickTop="1" x14ac:dyDescent="0.2">
      <c r="A273" s="489" t="s">
        <v>597</v>
      </c>
      <c r="B273" s="490">
        <v>822000</v>
      </c>
      <c r="C273" s="485">
        <v>26088</v>
      </c>
      <c r="D273" s="485">
        <v>16088</v>
      </c>
      <c r="E273" s="491">
        <f t="shared" ref="E273:E280" si="14">D273/C273*100</f>
        <v>61.668199938669119</v>
      </c>
      <c r="F273" s="38">
        <v>60003100637</v>
      </c>
    </row>
    <row r="274" spans="1:6" ht="14.25" customHeight="1" x14ac:dyDescent="0.2">
      <c r="A274" s="489" t="s">
        <v>598</v>
      </c>
      <c r="B274" s="490">
        <v>100000</v>
      </c>
      <c r="C274" s="485">
        <v>11220</v>
      </c>
      <c r="D274" s="485">
        <v>8100</v>
      </c>
      <c r="E274" s="491">
        <f t="shared" si="14"/>
        <v>72.192513368983953</v>
      </c>
      <c r="F274" s="38">
        <v>60003100642</v>
      </c>
    </row>
    <row r="275" spans="1:6" ht="14.25" customHeight="1" x14ac:dyDescent="0.2">
      <c r="A275" s="489" t="s">
        <v>284</v>
      </c>
      <c r="B275" s="490">
        <v>1581000</v>
      </c>
      <c r="C275" s="485">
        <v>1569454</v>
      </c>
      <c r="D275" s="485">
        <v>1569453.6</v>
      </c>
      <c r="E275" s="491">
        <f t="shared" si="14"/>
        <v>99.999974513429507</v>
      </c>
      <c r="F275" s="38">
        <v>60003100691</v>
      </c>
    </row>
    <row r="276" spans="1:6" ht="14.25" customHeight="1" x14ac:dyDescent="0.2">
      <c r="A276" s="489" t="s">
        <v>285</v>
      </c>
      <c r="B276" s="490">
        <v>600000</v>
      </c>
      <c r="C276" s="485">
        <v>0</v>
      </c>
      <c r="D276" s="485">
        <v>0</v>
      </c>
      <c r="E276" s="491">
        <v>0</v>
      </c>
      <c r="F276" s="38">
        <v>60003100767</v>
      </c>
    </row>
    <row r="277" spans="1:6" ht="14.25" customHeight="1" x14ac:dyDescent="0.2">
      <c r="A277" s="489" t="s">
        <v>286</v>
      </c>
      <c r="B277" s="490">
        <v>500000</v>
      </c>
      <c r="C277" s="485">
        <v>250000</v>
      </c>
      <c r="D277" s="485">
        <v>129600</v>
      </c>
      <c r="E277" s="491">
        <f t="shared" si="14"/>
        <v>51.839999999999996</v>
      </c>
      <c r="F277" s="38">
        <v>60003100768</v>
      </c>
    </row>
    <row r="278" spans="1:6" ht="25.5" x14ac:dyDescent="0.2">
      <c r="A278" s="489" t="s">
        <v>600</v>
      </c>
      <c r="B278" s="490">
        <v>500000</v>
      </c>
      <c r="C278" s="485">
        <v>395400</v>
      </c>
      <c r="D278" s="485">
        <v>0</v>
      </c>
      <c r="E278" s="491">
        <f t="shared" si="14"/>
        <v>0</v>
      </c>
      <c r="F278" s="38">
        <v>60003100769</v>
      </c>
    </row>
    <row r="279" spans="1:6" x14ac:dyDescent="0.2">
      <c r="A279" s="489" t="s">
        <v>599</v>
      </c>
      <c r="B279" s="490">
        <v>840000</v>
      </c>
      <c r="C279" s="485">
        <v>0</v>
      </c>
      <c r="D279" s="485">
        <v>0</v>
      </c>
      <c r="E279" s="491">
        <v>0</v>
      </c>
      <c r="F279" s="38">
        <v>60003100770</v>
      </c>
    </row>
    <row r="280" spans="1:6" x14ac:dyDescent="0.2">
      <c r="A280" s="489" t="s">
        <v>288</v>
      </c>
      <c r="B280" s="490">
        <v>6735000</v>
      </c>
      <c r="C280" s="485">
        <v>696399.2</v>
      </c>
      <c r="D280" s="485">
        <v>696399</v>
      </c>
      <c r="E280" s="491">
        <f t="shared" si="14"/>
        <v>99.999971280840072</v>
      </c>
      <c r="F280" s="38">
        <v>60003100771</v>
      </c>
    </row>
    <row r="281" spans="1:6" x14ac:dyDescent="0.2">
      <c r="A281" s="489" t="s">
        <v>289</v>
      </c>
      <c r="B281" s="490">
        <v>1300000</v>
      </c>
      <c r="C281" s="485">
        <v>0</v>
      </c>
      <c r="D281" s="485">
        <v>0</v>
      </c>
      <c r="E281" s="491">
        <v>0</v>
      </c>
      <c r="F281" s="38">
        <v>60003100772</v>
      </c>
    </row>
    <row r="282" spans="1:6" x14ac:dyDescent="0.2">
      <c r="A282" s="489" t="s">
        <v>290</v>
      </c>
      <c r="B282" s="490">
        <v>600000</v>
      </c>
      <c r="C282" s="485">
        <v>0</v>
      </c>
      <c r="D282" s="485">
        <v>0</v>
      </c>
      <c r="E282" s="491">
        <v>0</v>
      </c>
      <c r="F282" s="38">
        <v>60003100773</v>
      </c>
    </row>
    <row r="283" spans="1:6" x14ac:dyDescent="0.2">
      <c r="A283" s="489" t="s">
        <v>291</v>
      </c>
      <c r="B283" s="490">
        <v>2480000</v>
      </c>
      <c r="C283" s="485">
        <v>0</v>
      </c>
      <c r="D283" s="485">
        <v>0</v>
      </c>
      <c r="E283" s="491">
        <v>0</v>
      </c>
      <c r="F283" s="38">
        <v>60003100774</v>
      </c>
    </row>
    <row r="284" spans="1:6" x14ac:dyDescent="0.2">
      <c r="A284" s="489" t="s">
        <v>292</v>
      </c>
      <c r="B284" s="490">
        <v>500000</v>
      </c>
      <c r="C284" s="485">
        <v>0</v>
      </c>
      <c r="D284" s="485">
        <v>0</v>
      </c>
      <c r="E284" s="491">
        <v>0</v>
      </c>
      <c r="F284" s="38">
        <v>60003100775</v>
      </c>
    </row>
    <row r="285" spans="1:6" x14ac:dyDescent="0.2">
      <c r="A285" s="489" t="s">
        <v>293</v>
      </c>
      <c r="B285" s="490">
        <v>1200000</v>
      </c>
      <c r="C285" s="485">
        <v>0</v>
      </c>
      <c r="D285" s="485">
        <v>0</v>
      </c>
      <c r="E285" s="491">
        <v>0</v>
      </c>
      <c r="F285" s="38">
        <v>60003100776</v>
      </c>
    </row>
    <row r="286" spans="1:6" x14ac:dyDescent="0.2">
      <c r="A286" s="489" t="s">
        <v>294</v>
      </c>
      <c r="B286" s="490">
        <v>3000000</v>
      </c>
      <c r="C286" s="485">
        <v>0</v>
      </c>
      <c r="D286" s="485">
        <v>0</v>
      </c>
      <c r="E286" s="491">
        <v>0</v>
      </c>
      <c r="F286" s="38">
        <v>60003100777</v>
      </c>
    </row>
    <row r="287" spans="1:6" x14ac:dyDescent="0.2">
      <c r="A287" s="489" t="s">
        <v>295</v>
      </c>
      <c r="B287" s="490">
        <v>1280000</v>
      </c>
      <c r="C287" s="485">
        <v>0</v>
      </c>
      <c r="D287" s="485">
        <v>0</v>
      </c>
      <c r="E287" s="491">
        <v>0</v>
      </c>
      <c r="F287" s="38">
        <v>60003100778</v>
      </c>
    </row>
    <row r="288" spans="1:6" x14ac:dyDescent="0.2">
      <c r="A288" s="489" t="s">
        <v>296</v>
      </c>
      <c r="B288" s="490">
        <v>300000</v>
      </c>
      <c r="C288" s="485">
        <v>0</v>
      </c>
      <c r="D288" s="485">
        <v>0</v>
      </c>
      <c r="E288" s="491">
        <v>0</v>
      </c>
      <c r="F288" s="38">
        <v>60003100779</v>
      </c>
    </row>
    <row r="289" spans="1:7" ht="13.5" thickBot="1" x14ac:dyDescent="0.25">
      <c r="A289" s="489" t="s">
        <v>297</v>
      </c>
      <c r="B289" s="490">
        <v>400000</v>
      </c>
      <c r="C289" s="485">
        <v>0</v>
      </c>
      <c r="D289" s="485">
        <v>0</v>
      </c>
      <c r="E289" s="494">
        <v>0</v>
      </c>
      <c r="F289" s="38">
        <v>60003100780</v>
      </c>
    </row>
    <row r="290" spans="1:7" ht="13.5" thickTop="1" x14ac:dyDescent="0.2">
      <c r="A290" s="273"/>
      <c r="B290" s="260"/>
      <c r="C290" s="260"/>
      <c r="D290" s="261"/>
      <c r="E290" s="262"/>
      <c r="F290" s="8"/>
    </row>
    <row r="291" spans="1:7" s="23" customFormat="1" ht="15.75" thickBot="1" x14ac:dyDescent="0.3">
      <c r="A291" s="18" t="s">
        <v>32</v>
      </c>
      <c r="B291" s="254"/>
      <c r="C291" s="254"/>
      <c r="D291" s="254"/>
      <c r="E291" s="228" t="s">
        <v>18</v>
      </c>
    </row>
    <row r="292" spans="1:7" ht="14.25" thickTop="1" thickBot="1" x14ac:dyDescent="0.25">
      <c r="A292" s="16" t="s">
        <v>5</v>
      </c>
      <c r="B292" s="229" t="s">
        <v>0</v>
      </c>
      <c r="C292" s="230" t="s">
        <v>1</v>
      </c>
      <c r="D292" s="231" t="s">
        <v>4</v>
      </c>
      <c r="E292" s="215" t="s">
        <v>6</v>
      </c>
      <c r="F292" s="1"/>
    </row>
    <row r="293" spans="1:7" ht="15.75" thickTop="1" x14ac:dyDescent="0.25">
      <c r="A293" s="90" t="s">
        <v>8</v>
      </c>
      <c r="B293" s="285">
        <f>SUM(B294:B314)</f>
        <v>2765000</v>
      </c>
      <c r="C293" s="285">
        <f>SUM(C294:C314)</f>
        <v>13519888.6</v>
      </c>
      <c r="D293" s="285">
        <f t="shared" ref="D293" si="15">SUM(D294:D314)</f>
        <v>13519888.6</v>
      </c>
      <c r="E293" s="286">
        <f t="shared" ref="E293:E313" si="16">D293/C293*100</f>
        <v>100</v>
      </c>
      <c r="F293" s="13"/>
    </row>
    <row r="294" spans="1:7" s="3" customFormat="1" x14ac:dyDescent="0.2">
      <c r="A294" s="487" t="s">
        <v>299</v>
      </c>
      <c r="B294" s="457">
        <v>500000</v>
      </c>
      <c r="C294" s="298">
        <v>0</v>
      </c>
      <c r="D294" s="446">
        <v>0</v>
      </c>
      <c r="E294" s="458">
        <v>0</v>
      </c>
      <c r="F294" s="45">
        <v>60003001601</v>
      </c>
    </row>
    <row r="295" spans="1:7" s="3" customFormat="1" x14ac:dyDescent="0.2">
      <c r="A295" s="487" t="s">
        <v>300</v>
      </c>
      <c r="B295" s="457">
        <v>200000</v>
      </c>
      <c r="C295" s="298">
        <f>200000-44072</f>
        <v>155928</v>
      </c>
      <c r="D295" s="446">
        <f>200000-44072</f>
        <v>155928</v>
      </c>
      <c r="E295" s="458">
        <f t="shared" si="16"/>
        <v>100</v>
      </c>
      <c r="F295" s="45">
        <v>60003001601</v>
      </c>
    </row>
    <row r="296" spans="1:7" s="3" customFormat="1" x14ac:dyDescent="0.2">
      <c r="A296" s="487" t="s">
        <v>303</v>
      </c>
      <c r="B296" s="457">
        <v>500000</v>
      </c>
      <c r="C296" s="298">
        <v>500000</v>
      </c>
      <c r="D296" s="446">
        <v>500000</v>
      </c>
      <c r="E296" s="458">
        <f t="shared" si="16"/>
        <v>100</v>
      </c>
      <c r="F296" s="45">
        <v>60003001602</v>
      </c>
    </row>
    <row r="297" spans="1:7" s="3" customFormat="1" x14ac:dyDescent="0.2">
      <c r="A297" s="487" t="s">
        <v>528</v>
      </c>
      <c r="B297" s="457">
        <v>0</v>
      </c>
      <c r="C297" s="298">
        <v>1300000</v>
      </c>
      <c r="D297" s="457">
        <v>1300000</v>
      </c>
      <c r="E297" s="458">
        <f t="shared" si="16"/>
        <v>100</v>
      </c>
      <c r="F297" s="45">
        <v>60003001602</v>
      </c>
    </row>
    <row r="298" spans="1:7" s="3" customFormat="1" x14ac:dyDescent="0.2">
      <c r="A298" s="487" t="s">
        <v>529</v>
      </c>
      <c r="B298" s="457">
        <v>0</v>
      </c>
      <c r="C298" s="298">
        <v>500000</v>
      </c>
      <c r="D298" s="446">
        <v>500000</v>
      </c>
      <c r="E298" s="458">
        <f t="shared" si="16"/>
        <v>100</v>
      </c>
      <c r="F298" s="45">
        <v>60003001602</v>
      </c>
    </row>
    <row r="299" spans="1:7" s="3" customFormat="1" x14ac:dyDescent="0.2">
      <c r="A299" s="487" t="s">
        <v>530</v>
      </c>
      <c r="B299" s="457">
        <v>0</v>
      </c>
      <c r="C299" s="298">
        <v>1200000</v>
      </c>
      <c r="D299" s="446">
        <v>1200000</v>
      </c>
      <c r="E299" s="458">
        <f t="shared" si="16"/>
        <v>100</v>
      </c>
      <c r="F299" s="45">
        <v>60003001602</v>
      </c>
    </row>
    <row r="300" spans="1:7" s="3" customFormat="1" x14ac:dyDescent="0.2">
      <c r="A300" s="487" t="s">
        <v>531</v>
      </c>
      <c r="B300" s="457">
        <v>0</v>
      </c>
      <c r="C300" s="298">
        <v>1280000</v>
      </c>
      <c r="D300" s="446">
        <v>1280000</v>
      </c>
      <c r="E300" s="458">
        <f t="shared" si="16"/>
        <v>100</v>
      </c>
      <c r="F300" s="45">
        <v>60003001602</v>
      </c>
    </row>
    <row r="301" spans="1:7" s="3" customFormat="1" x14ac:dyDescent="0.2">
      <c r="A301" s="487" t="s">
        <v>621</v>
      </c>
      <c r="B301" s="457">
        <v>0</v>
      </c>
      <c r="C301" s="457">
        <f>300000-1016</f>
        <v>298984</v>
      </c>
      <c r="D301" s="495">
        <f>300000-1016</f>
        <v>298984</v>
      </c>
      <c r="E301" s="458">
        <f t="shared" si="16"/>
        <v>100</v>
      </c>
      <c r="F301" s="45">
        <v>60003001602</v>
      </c>
      <c r="G301" s="352"/>
    </row>
    <row r="302" spans="1:7" s="3" customFormat="1" x14ac:dyDescent="0.2">
      <c r="A302" s="487" t="s">
        <v>534</v>
      </c>
      <c r="B302" s="457">
        <v>0</v>
      </c>
      <c r="C302" s="457">
        <v>400000</v>
      </c>
      <c r="D302" s="495">
        <v>400000</v>
      </c>
      <c r="E302" s="458">
        <f t="shared" si="16"/>
        <v>100</v>
      </c>
      <c r="F302" s="45">
        <v>30003001602</v>
      </c>
    </row>
    <row r="303" spans="1:7" s="3" customFormat="1" x14ac:dyDescent="0.2">
      <c r="A303" s="487" t="s">
        <v>304</v>
      </c>
      <c r="B303" s="457">
        <v>49000</v>
      </c>
      <c r="C303" s="457">
        <f>49000-0.4</f>
        <v>48999.6</v>
      </c>
      <c r="D303" s="457">
        <f>49000-0.4</f>
        <v>48999.6</v>
      </c>
      <c r="E303" s="458">
        <f t="shared" si="16"/>
        <v>100</v>
      </c>
      <c r="F303" s="45">
        <v>60003001603</v>
      </c>
    </row>
    <row r="304" spans="1:7" s="3" customFormat="1" x14ac:dyDescent="0.2">
      <c r="A304" s="487" t="s">
        <v>305</v>
      </c>
      <c r="B304" s="457">
        <v>250000</v>
      </c>
      <c r="C304" s="457">
        <v>250000</v>
      </c>
      <c r="D304" s="457">
        <v>250000</v>
      </c>
      <c r="E304" s="458">
        <f t="shared" si="16"/>
        <v>100</v>
      </c>
      <c r="F304" s="45">
        <v>60003001603</v>
      </c>
    </row>
    <row r="305" spans="1:8" s="3" customFormat="1" x14ac:dyDescent="0.2">
      <c r="A305" s="487" t="s">
        <v>306</v>
      </c>
      <c r="B305" s="457">
        <v>46000</v>
      </c>
      <c r="C305" s="457">
        <f>46000-23</f>
        <v>45977</v>
      </c>
      <c r="D305" s="457">
        <f>46000-23</f>
        <v>45977</v>
      </c>
      <c r="E305" s="458">
        <f t="shared" si="16"/>
        <v>100</v>
      </c>
      <c r="F305" s="45">
        <v>60003001603</v>
      </c>
      <c r="G305" s="352"/>
    </row>
    <row r="306" spans="1:8" s="3" customFormat="1" x14ac:dyDescent="0.2">
      <c r="A306" s="487" t="s">
        <v>301</v>
      </c>
      <c r="B306" s="457">
        <v>230000</v>
      </c>
      <c r="C306" s="457">
        <v>230000</v>
      </c>
      <c r="D306" s="446">
        <v>230000</v>
      </c>
      <c r="E306" s="458">
        <f t="shared" si="16"/>
        <v>100</v>
      </c>
      <c r="F306" s="45">
        <v>60003001604</v>
      </c>
    </row>
    <row r="307" spans="1:8" s="3" customFormat="1" x14ac:dyDescent="0.2">
      <c r="A307" s="487" t="s">
        <v>532</v>
      </c>
      <c r="B307" s="457">
        <v>0</v>
      </c>
      <c r="C307" s="298">
        <v>3000000</v>
      </c>
      <c r="D307" s="446">
        <v>3000000</v>
      </c>
      <c r="E307" s="458">
        <f t="shared" si="16"/>
        <v>100</v>
      </c>
      <c r="F307" s="45">
        <v>60003001604</v>
      </c>
    </row>
    <row r="308" spans="1:8" s="3" customFormat="1" ht="25.5" x14ac:dyDescent="0.2">
      <c r="A308" s="487" t="s">
        <v>302</v>
      </c>
      <c r="B308" s="457">
        <v>120000</v>
      </c>
      <c r="C308" s="457">
        <v>120000</v>
      </c>
      <c r="D308" s="457">
        <v>120000</v>
      </c>
      <c r="E308" s="458">
        <f t="shared" si="16"/>
        <v>100</v>
      </c>
      <c r="F308" s="45">
        <v>60003001606</v>
      </c>
    </row>
    <row r="309" spans="1:8" s="3" customFormat="1" x14ac:dyDescent="0.2">
      <c r="A309" s="487" t="s">
        <v>307</v>
      </c>
      <c r="B309" s="457">
        <v>600000</v>
      </c>
      <c r="C309" s="457">
        <v>600000</v>
      </c>
      <c r="D309" s="457">
        <v>600000</v>
      </c>
      <c r="E309" s="458">
        <f t="shared" si="16"/>
        <v>100</v>
      </c>
      <c r="F309" s="45">
        <v>60003001606</v>
      </c>
    </row>
    <row r="310" spans="1:8" s="3" customFormat="1" x14ac:dyDescent="0.2">
      <c r="A310" s="487" t="s">
        <v>308</v>
      </c>
      <c r="B310" s="457">
        <v>100000</v>
      </c>
      <c r="C310" s="457">
        <v>100000</v>
      </c>
      <c r="D310" s="457">
        <v>100000</v>
      </c>
      <c r="E310" s="458">
        <f t="shared" si="16"/>
        <v>100</v>
      </c>
      <c r="F310" s="45">
        <v>60003001606</v>
      </c>
    </row>
    <row r="311" spans="1:8" s="3" customFormat="1" x14ac:dyDescent="0.2">
      <c r="A311" s="487" t="s">
        <v>309</v>
      </c>
      <c r="B311" s="457">
        <v>90000</v>
      </c>
      <c r="C311" s="457">
        <v>90000</v>
      </c>
      <c r="D311" s="457">
        <v>90000</v>
      </c>
      <c r="E311" s="458">
        <f t="shared" si="16"/>
        <v>100</v>
      </c>
      <c r="F311" s="45">
        <v>60003001606</v>
      </c>
    </row>
    <row r="312" spans="1:8" s="3" customFormat="1" x14ac:dyDescent="0.2">
      <c r="A312" s="487" t="s">
        <v>287</v>
      </c>
      <c r="B312" s="457">
        <v>0</v>
      </c>
      <c r="C312" s="457">
        <v>840000</v>
      </c>
      <c r="D312" s="457">
        <v>840000</v>
      </c>
      <c r="E312" s="458">
        <f t="shared" si="16"/>
        <v>100</v>
      </c>
      <c r="F312" s="45">
        <v>60003001606</v>
      </c>
    </row>
    <row r="313" spans="1:8" s="3" customFormat="1" ht="25.5" x14ac:dyDescent="0.2">
      <c r="A313" s="487" t="s">
        <v>310</v>
      </c>
      <c r="B313" s="457">
        <v>80000</v>
      </c>
      <c r="C313" s="457">
        <v>80000</v>
      </c>
      <c r="D313" s="457">
        <v>80000</v>
      </c>
      <c r="E313" s="466">
        <f t="shared" si="16"/>
        <v>100</v>
      </c>
      <c r="F313" s="45">
        <v>60003001606</v>
      </c>
      <c r="G313" s="352"/>
      <c r="H313" s="352"/>
    </row>
    <row r="314" spans="1:8" s="3" customFormat="1" ht="13.5" thickBot="1" x14ac:dyDescent="0.25">
      <c r="A314" s="468" t="s">
        <v>533</v>
      </c>
      <c r="B314" s="463">
        <v>0</v>
      </c>
      <c r="C314" s="463">
        <v>2480000</v>
      </c>
      <c r="D314" s="463">
        <v>2480000</v>
      </c>
      <c r="E314" s="481">
        <f t="shared" ref="E314" si="17">D314/C314*100</f>
        <v>100</v>
      </c>
      <c r="F314" s="321">
        <v>60003001607</v>
      </c>
    </row>
    <row r="315" spans="1:8" s="3" customFormat="1" ht="13.5" thickTop="1" x14ac:dyDescent="0.2">
      <c r="A315" s="37"/>
      <c r="B315" s="298"/>
      <c r="C315" s="298"/>
      <c r="D315" s="298"/>
      <c r="E315" s="258"/>
      <c r="F315" s="321"/>
    </row>
    <row r="316" spans="1:8" x14ac:dyDescent="0.2">
      <c r="A316" s="314"/>
      <c r="B316" s="315"/>
      <c r="C316" s="315"/>
      <c r="D316" s="316"/>
      <c r="E316" s="317"/>
      <c r="F316" s="8"/>
    </row>
    <row r="317" spans="1:8" ht="18.75" thickBot="1" x14ac:dyDescent="0.3">
      <c r="A317" s="54" t="s">
        <v>37</v>
      </c>
      <c r="B317" s="235">
        <f>SUM(B263,B293)</f>
        <v>42377000</v>
      </c>
      <c r="C317" s="235">
        <f t="shared" ref="C317:D317" si="18">SUM(C263,C293)</f>
        <v>41919318.799999997</v>
      </c>
      <c r="D317" s="235">
        <f t="shared" si="18"/>
        <v>39281812.200000003</v>
      </c>
      <c r="E317" s="255">
        <f>D317/C317*100</f>
        <v>93.708135829726331</v>
      </c>
      <c r="F317" s="2"/>
    </row>
    <row r="318" spans="1:8" s="23" customFormat="1" ht="18.75" customHeight="1" thickTop="1" x14ac:dyDescent="0.2">
      <c r="A318" s="273"/>
      <c r="B318" s="260"/>
      <c r="C318" s="260"/>
      <c r="D318" s="261"/>
      <c r="E318" s="262"/>
    </row>
    <row r="319" spans="1:8" s="23" customFormat="1" ht="18" x14ac:dyDescent="0.25">
      <c r="A319" s="17" t="s">
        <v>44</v>
      </c>
      <c r="B319" s="27"/>
      <c r="C319" s="27"/>
      <c r="D319" s="27"/>
      <c r="E319" s="228"/>
    </row>
    <row r="320" spans="1:8" ht="15.75" thickBot="1" x14ac:dyDescent="0.3">
      <c r="A320" s="18" t="s">
        <v>31</v>
      </c>
      <c r="B320" s="254"/>
      <c r="C320" s="254"/>
      <c r="D320" s="254"/>
      <c r="E320" s="228" t="s">
        <v>18</v>
      </c>
      <c r="F320" s="1"/>
    </row>
    <row r="321" spans="1:7" ht="14.25" thickTop="1" thickBot="1" x14ac:dyDescent="0.25">
      <c r="A321" s="16" t="s">
        <v>5</v>
      </c>
      <c r="B321" s="229" t="s">
        <v>0</v>
      </c>
      <c r="C321" s="230" t="s">
        <v>1</v>
      </c>
      <c r="D321" s="231" t="s">
        <v>4</v>
      </c>
      <c r="E321" s="215" t="s">
        <v>6</v>
      </c>
      <c r="F321" s="39"/>
    </row>
    <row r="322" spans="1:7" ht="15.75" thickTop="1" x14ac:dyDescent="0.2">
      <c r="A322" s="90" t="s">
        <v>10</v>
      </c>
      <c r="B322" s="15">
        <f>SUM(B323:B328)</f>
        <v>18374000</v>
      </c>
      <c r="C322" s="15">
        <f t="shared" ref="C322" si="19">SUM(C323:C328)</f>
        <v>14478228.9</v>
      </c>
      <c r="D322" s="15">
        <f>SUM(D323:D328)</f>
        <v>12753700.280000001</v>
      </c>
      <c r="E322" s="257">
        <f t="shared" ref="E322:E327" si="20">D322/C322*100</f>
        <v>88.088815062179322</v>
      </c>
      <c r="F322" s="39"/>
    </row>
    <row r="323" spans="1:7" ht="25.5" x14ac:dyDescent="0.2">
      <c r="A323" s="487" t="s">
        <v>355</v>
      </c>
      <c r="B323" s="496">
        <v>0</v>
      </c>
      <c r="C323" s="497">
        <v>300000</v>
      </c>
      <c r="D323" s="485">
        <v>258189.08</v>
      </c>
      <c r="E323" s="466">
        <f t="shared" si="20"/>
        <v>86.063026666666659</v>
      </c>
      <c r="F323" s="356">
        <v>60005100653</v>
      </c>
    </row>
    <row r="324" spans="1:7" ht="25.5" x14ac:dyDescent="0.2">
      <c r="A324" s="498" t="s">
        <v>311</v>
      </c>
      <c r="B324" s="496">
        <v>350000</v>
      </c>
      <c r="C324" s="497">
        <v>22800</v>
      </c>
      <c r="D324" s="485">
        <v>22800</v>
      </c>
      <c r="E324" s="466">
        <f t="shared" si="20"/>
        <v>100</v>
      </c>
      <c r="F324" s="40">
        <v>60005100782</v>
      </c>
    </row>
    <row r="325" spans="1:7" ht="25.5" x14ac:dyDescent="0.2">
      <c r="A325" s="498" t="s">
        <v>618</v>
      </c>
      <c r="B325" s="496">
        <v>9980000</v>
      </c>
      <c r="C325" s="499">
        <v>11843000</v>
      </c>
      <c r="D325" s="485">
        <v>10160282.4</v>
      </c>
      <c r="E325" s="466">
        <f t="shared" si="20"/>
        <v>85.791458245377015</v>
      </c>
      <c r="F325" s="41">
        <v>60005100432</v>
      </c>
    </row>
    <row r="326" spans="1:7" ht="25.5" x14ac:dyDescent="0.2">
      <c r="A326" s="500" t="s">
        <v>312</v>
      </c>
      <c r="B326" s="496">
        <v>5024000</v>
      </c>
      <c r="C326" s="497">
        <v>715200</v>
      </c>
      <c r="D326" s="485">
        <v>715200</v>
      </c>
      <c r="E326" s="466">
        <f t="shared" si="20"/>
        <v>100</v>
      </c>
      <c r="F326" s="40">
        <v>60005100783</v>
      </c>
    </row>
    <row r="327" spans="1:7" ht="25.5" x14ac:dyDescent="0.2">
      <c r="A327" s="500" t="s">
        <v>619</v>
      </c>
      <c r="B327" s="496">
        <v>800000</v>
      </c>
      <c r="C327" s="497">
        <v>1597228.9</v>
      </c>
      <c r="D327" s="485">
        <v>1597228.8</v>
      </c>
      <c r="E327" s="466">
        <f t="shared" si="20"/>
        <v>99.999993739156622</v>
      </c>
      <c r="F327" s="41">
        <v>60005100784</v>
      </c>
    </row>
    <row r="328" spans="1:7" s="2" customFormat="1" ht="26.25" customHeight="1" thickBot="1" x14ac:dyDescent="0.25">
      <c r="A328" s="500" t="s">
        <v>313</v>
      </c>
      <c r="B328" s="496">
        <v>2220000</v>
      </c>
      <c r="C328" s="497">
        <v>0</v>
      </c>
      <c r="D328" s="485">
        <v>0</v>
      </c>
      <c r="E328" s="466">
        <v>0</v>
      </c>
      <c r="F328" s="8">
        <v>60005100785</v>
      </c>
    </row>
    <row r="329" spans="1:7" ht="13.5" thickTop="1" x14ac:dyDescent="0.2">
      <c r="A329" s="318"/>
      <c r="B329" s="319"/>
      <c r="C329" s="319"/>
      <c r="D329" s="320"/>
      <c r="E329" s="306"/>
      <c r="F329" s="11"/>
    </row>
    <row r="330" spans="1:7" s="23" customFormat="1" ht="15.75" thickBot="1" x14ac:dyDescent="0.3">
      <c r="A330" s="18" t="s">
        <v>32</v>
      </c>
      <c r="B330" s="254"/>
      <c r="C330" s="254"/>
      <c r="D330" s="254"/>
      <c r="E330" s="228" t="s">
        <v>18</v>
      </c>
    </row>
    <row r="331" spans="1:7" ht="14.25" thickTop="1" thickBot="1" x14ac:dyDescent="0.25">
      <c r="A331" s="16" t="s">
        <v>5</v>
      </c>
      <c r="B331" s="229" t="s">
        <v>0</v>
      </c>
      <c r="C331" s="230" t="s">
        <v>1</v>
      </c>
      <c r="D331" s="231" t="s">
        <v>4</v>
      </c>
      <c r="E331" s="215" t="s">
        <v>6</v>
      </c>
      <c r="F331" s="1"/>
    </row>
    <row r="332" spans="1:7" ht="15.75" thickTop="1" x14ac:dyDescent="0.25">
      <c r="A332" s="275" t="s">
        <v>10</v>
      </c>
      <c r="B332" s="285">
        <f>SUM(B333:B343)</f>
        <v>4600000</v>
      </c>
      <c r="C332" s="285">
        <f>SUM(C333:C343)</f>
        <v>4215686.1500000004</v>
      </c>
      <c r="D332" s="285">
        <f>SUM(D333:D343)</f>
        <v>3515686.15</v>
      </c>
      <c r="E332" s="286">
        <f t="shared" ref="E332:E343" si="21">D332/C332*100</f>
        <v>83.395348346792844</v>
      </c>
      <c r="F332" s="13"/>
    </row>
    <row r="333" spans="1:7" s="3" customFormat="1" x14ac:dyDescent="0.2">
      <c r="A333" s="487" t="s">
        <v>314</v>
      </c>
      <c r="B333" s="457">
        <v>700000</v>
      </c>
      <c r="C333" s="298">
        <v>700000</v>
      </c>
      <c r="D333" s="446">
        <v>0</v>
      </c>
      <c r="E333" s="458">
        <f t="shared" si="21"/>
        <v>0</v>
      </c>
      <c r="F333" s="45" t="s">
        <v>322</v>
      </c>
    </row>
    <row r="334" spans="1:7" s="3" customFormat="1" x14ac:dyDescent="0.2">
      <c r="A334" s="487" t="s">
        <v>315</v>
      </c>
      <c r="B334" s="457">
        <v>200000</v>
      </c>
      <c r="C334" s="298">
        <v>200000</v>
      </c>
      <c r="D334" s="446">
        <v>200000</v>
      </c>
      <c r="E334" s="458">
        <f t="shared" si="21"/>
        <v>100</v>
      </c>
      <c r="F334" s="45" t="s">
        <v>322</v>
      </c>
    </row>
    <row r="335" spans="1:7" s="3" customFormat="1" x14ac:dyDescent="0.2">
      <c r="A335" s="487" t="s">
        <v>501</v>
      </c>
      <c r="B335" s="457">
        <v>0</v>
      </c>
      <c r="C335" s="298">
        <v>50000</v>
      </c>
      <c r="D335" s="446">
        <v>50000</v>
      </c>
      <c r="E335" s="458">
        <f t="shared" si="21"/>
        <v>100</v>
      </c>
      <c r="F335" s="45" t="s">
        <v>322</v>
      </c>
      <c r="G335" s="352"/>
    </row>
    <row r="336" spans="1:7" s="3" customFormat="1" ht="25.5" x14ac:dyDescent="0.2">
      <c r="A336" s="487" t="s">
        <v>316</v>
      </c>
      <c r="B336" s="457">
        <v>300000</v>
      </c>
      <c r="C336" s="298">
        <v>0</v>
      </c>
      <c r="D336" s="446">
        <v>0</v>
      </c>
      <c r="E336" s="458">
        <v>0</v>
      </c>
      <c r="F336" s="45" t="s">
        <v>323</v>
      </c>
    </row>
    <row r="337" spans="1:7" s="3" customFormat="1" ht="26.25" thickBot="1" x14ac:dyDescent="0.25">
      <c r="A337" s="468" t="s">
        <v>317</v>
      </c>
      <c r="B337" s="463">
        <v>150000</v>
      </c>
      <c r="C337" s="464">
        <v>150000</v>
      </c>
      <c r="D337" s="452">
        <v>150000</v>
      </c>
      <c r="E337" s="465">
        <f t="shared" si="21"/>
        <v>100</v>
      </c>
      <c r="F337" s="45" t="s">
        <v>323</v>
      </c>
    </row>
    <row r="338" spans="1:7" s="23" customFormat="1" ht="16.5" thickTop="1" thickBot="1" x14ac:dyDescent="0.3">
      <c r="A338" s="18"/>
      <c r="B338" s="254"/>
      <c r="C338" s="254"/>
      <c r="D338" s="254"/>
      <c r="E338" s="228" t="s">
        <v>18</v>
      </c>
    </row>
    <row r="339" spans="1:7" ht="14.25" thickTop="1" thickBot="1" x14ac:dyDescent="0.25">
      <c r="A339" s="16" t="s">
        <v>5</v>
      </c>
      <c r="B339" s="229" t="s">
        <v>0</v>
      </c>
      <c r="C339" s="230" t="s">
        <v>1</v>
      </c>
      <c r="D339" s="231" t="s">
        <v>4</v>
      </c>
      <c r="E339" s="215" t="s">
        <v>6</v>
      </c>
      <c r="F339" s="1"/>
    </row>
    <row r="340" spans="1:7" s="3" customFormat="1" ht="26.25" thickTop="1" x14ac:dyDescent="0.2">
      <c r="A340" s="487" t="s">
        <v>318</v>
      </c>
      <c r="B340" s="457">
        <v>50000</v>
      </c>
      <c r="C340" s="298">
        <v>0</v>
      </c>
      <c r="D340" s="446">
        <v>0</v>
      </c>
      <c r="E340" s="458">
        <v>0</v>
      </c>
      <c r="F340" s="45" t="s">
        <v>323</v>
      </c>
    </row>
    <row r="341" spans="1:7" s="3" customFormat="1" ht="25.5" x14ac:dyDescent="0.2">
      <c r="A341" s="487" t="s">
        <v>319</v>
      </c>
      <c r="B341" s="457">
        <v>200000</v>
      </c>
      <c r="C341" s="298">
        <f>200000-84313.85</f>
        <v>115686.15</v>
      </c>
      <c r="D341" s="446">
        <v>115686.15</v>
      </c>
      <c r="E341" s="458">
        <f t="shared" si="21"/>
        <v>100</v>
      </c>
      <c r="F341" s="45" t="s">
        <v>323</v>
      </c>
    </row>
    <row r="342" spans="1:7" s="3" customFormat="1" ht="25.5" x14ac:dyDescent="0.2">
      <c r="A342" s="487" t="s">
        <v>320</v>
      </c>
      <c r="B342" s="457">
        <v>150000</v>
      </c>
      <c r="C342" s="298">
        <v>150000</v>
      </c>
      <c r="D342" s="446">
        <v>150000</v>
      </c>
      <c r="E342" s="458">
        <f t="shared" si="21"/>
        <v>100</v>
      </c>
      <c r="F342" s="45" t="s">
        <v>323</v>
      </c>
      <c r="G342" s="352"/>
    </row>
    <row r="343" spans="1:7" s="3" customFormat="1" ht="13.5" thickBot="1" x14ac:dyDescent="0.25">
      <c r="A343" s="487" t="s">
        <v>321</v>
      </c>
      <c r="B343" s="457">
        <v>2850000</v>
      </c>
      <c r="C343" s="298">
        <v>2850000</v>
      </c>
      <c r="D343" s="446">
        <v>2850000</v>
      </c>
      <c r="E343" s="458">
        <f t="shared" si="21"/>
        <v>100</v>
      </c>
      <c r="F343" s="45">
        <v>60005001704</v>
      </c>
    </row>
    <row r="344" spans="1:7" s="3" customFormat="1" ht="13.5" thickTop="1" x14ac:dyDescent="0.2">
      <c r="A344" s="325"/>
      <c r="B344" s="304"/>
      <c r="C344" s="304"/>
      <c r="D344" s="305"/>
      <c r="E344" s="306"/>
      <c r="F344" s="321"/>
    </row>
    <row r="345" spans="1:7" s="23" customFormat="1" ht="15.75" thickBot="1" x14ac:dyDescent="0.3">
      <c r="A345" s="18" t="s">
        <v>324</v>
      </c>
      <c r="B345" s="254"/>
      <c r="C345" s="254"/>
      <c r="D345" s="254"/>
      <c r="E345" s="228" t="s">
        <v>18</v>
      </c>
    </row>
    <row r="346" spans="1:7" ht="14.25" thickTop="1" thickBot="1" x14ac:dyDescent="0.25">
      <c r="A346" s="16" t="s">
        <v>5</v>
      </c>
      <c r="B346" s="229" t="s">
        <v>0</v>
      </c>
      <c r="C346" s="230" t="s">
        <v>1</v>
      </c>
      <c r="D346" s="231" t="s">
        <v>4</v>
      </c>
      <c r="E346" s="215" t="s">
        <v>6</v>
      </c>
      <c r="F346" s="1"/>
    </row>
    <row r="347" spans="1:7" ht="15.75" thickTop="1" x14ac:dyDescent="0.25">
      <c r="A347" s="275" t="s">
        <v>10</v>
      </c>
      <c r="B347" s="285">
        <f>SUM(B349:B349)</f>
        <v>0</v>
      </c>
      <c r="C347" s="285">
        <f>SUM(C348:C349)</f>
        <v>2220000</v>
      </c>
      <c r="D347" s="285">
        <f>SUM(D348:D349)</f>
        <v>2220000</v>
      </c>
      <c r="E347" s="286">
        <f t="shared" ref="E347:E349" si="22">D347/C347*100</f>
        <v>100</v>
      </c>
      <c r="F347" s="13"/>
    </row>
    <row r="348" spans="1:7" ht="15" x14ac:dyDescent="0.25">
      <c r="A348" s="501" t="s">
        <v>325</v>
      </c>
      <c r="B348" s="476">
        <v>0</v>
      </c>
      <c r="C348" s="476">
        <v>441627</v>
      </c>
      <c r="D348" s="476">
        <v>441627</v>
      </c>
      <c r="E348" s="502">
        <f t="shared" si="22"/>
        <v>100</v>
      </c>
      <c r="F348" s="326"/>
    </row>
    <row r="349" spans="1:7" s="3" customFormat="1" ht="26.25" thickBot="1" x14ac:dyDescent="0.25">
      <c r="A349" s="468" t="s">
        <v>326</v>
      </c>
      <c r="B349" s="463">
        <v>0</v>
      </c>
      <c r="C349" s="463">
        <v>1778373</v>
      </c>
      <c r="D349" s="463">
        <v>1778373</v>
      </c>
      <c r="E349" s="465">
        <f t="shared" si="22"/>
        <v>100</v>
      </c>
      <c r="F349" s="45">
        <v>60005000000</v>
      </c>
    </row>
    <row r="350" spans="1:7" s="3" customFormat="1" ht="13.5" thickTop="1" x14ac:dyDescent="0.2">
      <c r="A350" s="322"/>
      <c r="B350" s="323"/>
      <c r="C350" s="323"/>
      <c r="D350" s="324"/>
      <c r="E350" s="263"/>
      <c r="F350" s="321"/>
    </row>
    <row r="351" spans="1:7" ht="18.75" thickBot="1" x14ac:dyDescent="0.3">
      <c r="A351" s="300" t="s">
        <v>38</v>
      </c>
      <c r="B351" s="301">
        <f>B322+B332+B347</f>
        <v>22974000</v>
      </c>
      <c r="C351" s="301">
        <f t="shared" ref="C351:D351" si="23">C322+C332+C347</f>
        <v>20913915.050000001</v>
      </c>
      <c r="D351" s="301">
        <f t="shared" si="23"/>
        <v>18489386.43</v>
      </c>
      <c r="E351" s="302">
        <f>D351/C351*100</f>
        <v>88.407103049794586</v>
      </c>
      <c r="F351" s="1"/>
    </row>
    <row r="352" spans="1:7" ht="13.5" thickTop="1" x14ac:dyDescent="0.2">
      <c r="A352" s="9"/>
      <c r="B352" s="12"/>
      <c r="C352" s="12"/>
      <c r="D352" s="12"/>
      <c r="E352" s="12"/>
      <c r="F352" s="1"/>
    </row>
    <row r="353" spans="1:6" x14ac:dyDescent="0.2">
      <c r="A353" s="9"/>
      <c r="B353" s="12"/>
      <c r="C353" s="12"/>
      <c r="D353" s="12"/>
      <c r="E353" s="12"/>
      <c r="F353" s="1"/>
    </row>
    <row r="354" spans="1:6" s="23" customFormat="1" ht="18" x14ac:dyDescent="0.25">
      <c r="A354" s="17" t="s">
        <v>327</v>
      </c>
      <c r="B354" s="27"/>
      <c r="C354" s="27"/>
      <c r="D354" s="27"/>
      <c r="E354" s="228"/>
    </row>
    <row r="355" spans="1:6" ht="15.75" thickBot="1" x14ac:dyDescent="0.3">
      <c r="A355" s="18" t="s">
        <v>328</v>
      </c>
      <c r="B355" s="254"/>
      <c r="C355" s="254"/>
      <c r="D355" s="254"/>
      <c r="E355" s="228" t="s">
        <v>18</v>
      </c>
      <c r="F355" s="1"/>
    </row>
    <row r="356" spans="1:6" ht="14.25" thickTop="1" thickBot="1" x14ac:dyDescent="0.25">
      <c r="A356" s="16" t="s">
        <v>5</v>
      </c>
      <c r="B356" s="229" t="s">
        <v>0</v>
      </c>
      <c r="C356" s="230" t="s">
        <v>1</v>
      </c>
      <c r="D356" s="231" t="s">
        <v>4</v>
      </c>
      <c r="E356" s="215" t="s">
        <v>6</v>
      </c>
      <c r="F356" s="39"/>
    </row>
    <row r="357" spans="1:6" ht="15.75" thickTop="1" x14ac:dyDescent="0.2">
      <c r="A357" s="90" t="s">
        <v>49</v>
      </c>
      <c r="B357" s="15">
        <f>SUM(B358:B359)</f>
        <v>4400000</v>
      </c>
      <c r="C357" s="15">
        <f t="shared" ref="C357:D357" si="24">SUM(C358:C359)</f>
        <v>4400000</v>
      </c>
      <c r="D357" s="15">
        <f t="shared" si="24"/>
        <v>429600</v>
      </c>
      <c r="E357" s="257">
        <f t="shared" ref="E357:E359" si="25">D357/C357*100</f>
        <v>9.7636363636363637</v>
      </c>
      <c r="F357" s="39"/>
    </row>
    <row r="358" spans="1:6" x14ac:dyDescent="0.2">
      <c r="A358" s="498" t="s">
        <v>329</v>
      </c>
      <c r="B358" s="496">
        <v>430000</v>
      </c>
      <c r="C358" s="497">
        <v>430000</v>
      </c>
      <c r="D358" s="485">
        <v>429600</v>
      </c>
      <c r="E358" s="466">
        <f t="shared" si="25"/>
        <v>99.906976744186053</v>
      </c>
      <c r="F358" s="40">
        <v>6000700000</v>
      </c>
    </row>
    <row r="359" spans="1:6" ht="13.5" thickBot="1" x14ac:dyDescent="0.25">
      <c r="A359" s="503" t="s">
        <v>330</v>
      </c>
      <c r="B359" s="504">
        <v>3970000</v>
      </c>
      <c r="C359" s="505">
        <v>3970000</v>
      </c>
      <c r="D359" s="486">
        <v>0</v>
      </c>
      <c r="E359" s="481">
        <f t="shared" si="25"/>
        <v>0</v>
      </c>
      <c r="F359" s="40">
        <v>6000700000</v>
      </c>
    </row>
    <row r="360" spans="1:6" ht="13.5" thickTop="1" x14ac:dyDescent="0.2">
      <c r="A360" s="359"/>
      <c r="B360" s="327"/>
      <c r="C360" s="261"/>
      <c r="D360" s="261"/>
      <c r="E360" s="306"/>
      <c r="F360" s="360"/>
    </row>
    <row r="361" spans="1:6" ht="15.75" thickBot="1" x14ac:dyDescent="0.3">
      <c r="A361" s="18" t="s">
        <v>331</v>
      </c>
      <c r="B361" s="254"/>
      <c r="C361" s="254"/>
      <c r="D361" s="254"/>
      <c r="E361" s="228" t="s">
        <v>18</v>
      </c>
      <c r="F361" s="1"/>
    </row>
    <row r="362" spans="1:6" ht="14.25" thickTop="1" thickBot="1" x14ac:dyDescent="0.25">
      <c r="A362" s="16" t="s">
        <v>5</v>
      </c>
      <c r="B362" s="229" t="s">
        <v>0</v>
      </c>
      <c r="C362" s="230" t="s">
        <v>1</v>
      </c>
      <c r="D362" s="231" t="s">
        <v>4</v>
      </c>
      <c r="E362" s="215" t="s">
        <v>6</v>
      </c>
      <c r="F362" s="39"/>
    </row>
    <row r="363" spans="1:6" ht="15.75" thickTop="1" x14ac:dyDescent="0.2">
      <c r="A363" s="90" t="s">
        <v>333</v>
      </c>
      <c r="B363" s="15">
        <f>SUM(B364:B365)</f>
        <v>2400000</v>
      </c>
      <c r="C363" s="15">
        <f t="shared" ref="C363:D363" si="26">SUM(C364:C365)</f>
        <v>2400000</v>
      </c>
      <c r="D363" s="15">
        <f t="shared" si="26"/>
        <v>1743398</v>
      </c>
      <c r="E363" s="257">
        <f t="shared" ref="E363:E365" si="27">D363/C363*100</f>
        <v>72.641583333333344</v>
      </c>
      <c r="F363" s="328"/>
    </row>
    <row r="364" spans="1:6" x14ac:dyDescent="0.2">
      <c r="A364" s="498" t="s">
        <v>334</v>
      </c>
      <c r="B364" s="496">
        <v>1880000</v>
      </c>
      <c r="C364" s="497">
        <v>1880000</v>
      </c>
      <c r="D364" s="485">
        <v>1223398</v>
      </c>
      <c r="E364" s="466">
        <f t="shared" si="27"/>
        <v>65.074361702127661</v>
      </c>
      <c r="F364" s="328" t="s">
        <v>336</v>
      </c>
    </row>
    <row r="365" spans="1:6" ht="13.5" thickBot="1" x14ac:dyDescent="0.25">
      <c r="A365" s="503" t="s">
        <v>335</v>
      </c>
      <c r="B365" s="504">
        <v>520000</v>
      </c>
      <c r="C365" s="505">
        <v>520000</v>
      </c>
      <c r="D365" s="486">
        <v>520000</v>
      </c>
      <c r="E365" s="481">
        <f t="shared" si="27"/>
        <v>100</v>
      </c>
      <c r="F365" s="328" t="s">
        <v>337</v>
      </c>
    </row>
    <row r="366" spans="1:6" ht="13.5" thickTop="1" x14ac:dyDescent="0.2">
      <c r="A366" s="359"/>
      <c r="B366" s="89"/>
      <c r="C366" s="316"/>
      <c r="D366" s="316"/>
      <c r="E366" s="306"/>
      <c r="F366" s="358"/>
    </row>
    <row r="367" spans="1:6" ht="15.75" thickBot="1" x14ac:dyDescent="0.3">
      <c r="A367" s="18" t="s">
        <v>332</v>
      </c>
      <c r="B367" s="254"/>
      <c r="C367" s="254"/>
      <c r="D367" s="254"/>
      <c r="E367" s="228" t="s">
        <v>18</v>
      </c>
      <c r="F367" s="1"/>
    </row>
    <row r="368" spans="1:6" ht="14.25" thickTop="1" thickBot="1" x14ac:dyDescent="0.25">
      <c r="A368" s="16" t="s">
        <v>5</v>
      </c>
      <c r="B368" s="229" t="s">
        <v>0</v>
      </c>
      <c r="C368" s="230" t="s">
        <v>1</v>
      </c>
      <c r="D368" s="231" t="s">
        <v>4</v>
      </c>
      <c r="E368" s="215" t="s">
        <v>6</v>
      </c>
      <c r="F368" s="39"/>
    </row>
    <row r="369" spans="1:6" ht="15.75" thickTop="1" x14ac:dyDescent="0.2">
      <c r="A369" s="90" t="s">
        <v>333</v>
      </c>
      <c r="B369" s="15">
        <f>SUM(B370:B373)</f>
        <v>2200000</v>
      </c>
      <c r="C369" s="15">
        <f t="shared" ref="C369:D369" si="28">SUM(C370:C373)</f>
        <v>2200000</v>
      </c>
      <c r="D369" s="15">
        <f t="shared" si="28"/>
        <v>348060</v>
      </c>
      <c r="E369" s="257">
        <f t="shared" ref="E369:E373" si="29">D369/C369*100</f>
        <v>15.82090909090909</v>
      </c>
      <c r="F369" s="39"/>
    </row>
    <row r="370" spans="1:6" x14ac:dyDescent="0.2">
      <c r="A370" s="498" t="s">
        <v>338</v>
      </c>
      <c r="B370" s="496">
        <v>500000</v>
      </c>
      <c r="C370" s="497">
        <v>500000</v>
      </c>
      <c r="D370" s="485">
        <v>253860</v>
      </c>
      <c r="E370" s="466">
        <f t="shared" si="29"/>
        <v>50.771999999999991</v>
      </c>
      <c r="F370" s="40"/>
    </row>
    <row r="371" spans="1:6" x14ac:dyDescent="0.2">
      <c r="A371" s="498" t="s">
        <v>339</v>
      </c>
      <c r="B371" s="496">
        <v>500000</v>
      </c>
      <c r="C371" s="497">
        <v>500000</v>
      </c>
      <c r="D371" s="485">
        <v>0</v>
      </c>
      <c r="E371" s="466">
        <f t="shared" si="29"/>
        <v>0</v>
      </c>
      <c r="F371" s="40"/>
    </row>
    <row r="372" spans="1:6" x14ac:dyDescent="0.2">
      <c r="A372" s="498" t="s">
        <v>340</v>
      </c>
      <c r="B372" s="496">
        <v>200000</v>
      </c>
      <c r="C372" s="497">
        <v>200000</v>
      </c>
      <c r="D372" s="485">
        <v>94200</v>
      </c>
      <c r="E372" s="466">
        <f t="shared" si="29"/>
        <v>47.099999999999994</v>
      </c>
      <c r="F372" s="40"/>
    </row>
    <row r="373" spans="1:6" ht="13.5" thickBot="1" x14ac:dyDescent="0.25">
      <c r="A373" s="503" t="s">
        <v>341</v>
      </c>
      <c r="B373" s="504">
        <v>1000000</v>
      </c>
      <c r="C373" s="505">
        <v>1000000</v>
      </c>
      <c r="D373" s="486">
        <v>0</v>
      </c>
      <c r="E373" s="481">
        <f t="shared" si="29"/>
        <v>0</v>
      </c>
      <c r="F373" s="40"/>
    </row>
    <row r="374" spans="1:6" s="2" customFormat="1" ht="16.5" customHeight="1" thickTop="1" x14ac:dyDescent="0.2">
      <c r="A374" s="357"/>
      <c r="B374" s="89"/>
      <c r="C374" s="316"/>
      <c r="D374" s="316"/>
      <c r="E374" s="263"/>
      <c r="F374" s="8"/>
    </row>
    <row r="375" spans="1:6" ht="22.5" customHeight="1" thickBot="1" x14ac:dyDescent="0.3">
      <c r="A375" s="54" t="s">
        <v>343</v>
      </c>
      <c r="B375" s="235">
        <f>B357+B363+B369</f>
        <v>9000000</v>
      </c>
      <c r="C375" s="235">
        <f t="shared" ref="C375:D375" si="30">C357+C363+C369</f>
        <v>9000000</v>
      </c>
      <c r="D375" s="235">
        <f t="shared" si="30"/>
        <v>2521058</v>
      </c>
      <c r="E375" s="255">
        <f>D375/C375*100</f>
        <v>28.011755555555556</v>
      </c>
      <c r="F375" s="1"/>
    </row>
    <row r="376" spans="1:6" ht="13.5" thickTop="1" x14ac:dyDescent="0.2">
      <c r="A376" s="9"/>
      <c r="B376" s="12"/>
      <c r="C376" s="12"/>
      <c r="D376" s="12"/>
      <c r="E376" s="12"/>
      <c r="F376" s="1"/>
    </row>
    <row r="377" spans="1:6" x14ac:dyDescent="0.2">
      <c r="A377" s="9"/>
      <c r="B377" s="12"/>
      <c r="C377" s="12"/>
      <c r="D377" s="12"/>
      <c r="E377" s="12"/>
      <c r="F377" s="1"/>
    </row>
    <row r="378" spans="1:6" x14ac:dyDescent="0.2">
      <c r="A378" s="9"/>
      <c r="B378" s="12"/>
      <c r="C378" s="12"/>
      <c r="D378" s="12"/>
      <c r="E378" s="12"/>
      <c r="F378" s="1"/>
    </row>
    <row r="379" spans="1:6" x14ac:dyDescent="0.2">
      <c r="A379" s="9"/>
      <c r="B379" s="12"/>
      <c r="C379" s="12"/>
      <c r="D379" s="12"/>
      <c r="E379" s="12"/>
      <c r="F379" s="1"/>
    </row>
    <row r="380" spans="1:6" ht="14.25" x14ac:dyDescent="0.2">
      <c r="A380" s="19" t="s">
        <v>12</v>
      </c>
      <c r="B380" s="264"/>
      <c r="C380" s="264"/>
      <c r="D380" s="264"/>
      <c r="E380" s="238"/>
      <c r="F380" s="1"/>
    </row>
    <row r="381" spans="1:6" ht="14.25" x14ac:dyDescent="0.2">
      <c r="A381" s="20" t="s">
        <v>16</v>
      </c>
      <c r="B381" s="354">
        <f>SUM(B104)</f>
        <v>69533000</v>
      </c>
      <c r="C381" s="354">
        <f>SUM(C104)</f>
        <v>60279397.960000001</v>
      </c>
      <c r="D381" s="354">
        <f>SUM(D104)</f>
        <v>57639732.469999999</v>
      </c>
      <c r="E381" s="222">
        <f t="shared" ref="E381:E387" si="31">D381/C381*100</f>
        <v>95.620949147913478</v>
      </c>
      <c r="F381" s="1"/>
    </row>
    <row r="382" spans="1:6" ht="14.25" x14ac:dyDescent="0.2">
      <c r="A382" s="20" t="s">
        <v>15</v>
      </c>
      <c r="B382" s="265">
        <f>SUM(B213)</f>
        <v>94499000</v>
      </c>
      <c r="C382" s="265">
        <f>SUM(C213)</f>
        <v>51792932.82</v>
      </c>
      <c r="D382" s="265">
        <f>SUM(D213)</f>
        <v>47502410.950000003</v>
      </c>
      <c r="E382" s="222">
        <f>D382/C382*100</f>
        <v>91.716009045266503</v>
      </c>
      <c r="F382" s="1"/>
    </row>
    <row r="383" spans="1:6" ht="14.25" x14ac:dyDescent="0.2">
      <c r="A383" s="20" t="s">
        <v>13</v>
      </c>
      <c r="B383" s="265">
        <f>SUM(B258)</f>
        <v>41240000</v>
      </c>
      <c r="C383" s="265">
        <f>SUM(C258)</f>
        <v>39511891.899999999</v>
      </c>
      <c r="D383" s="265">
        <f>SUM(D258)</f>
        <v>32535612.09</v>
      </c>
      <c r="E383" s="222">
        <f>D383/C383*100</f>
        <v>82.343847701203089</v>
      </c>
      <c r="F383" s="1"/>
    </row>
    <row r="384" spans="1:6" ht="14.25" x14ac:dyDescent="0.2">
      <c r="A384" s="20" t="s">
        <v>17</v>
      </c>
      <c r="B384" s="265">
        <f>SUM(B317)</f>
        <v>42377000</v>
      </c>
      <c r="C384" s="265">
        <f>SUM(C317)</f>
        <v>41919318.799999997</v>
      </c>
      <c r="D384" s="265">
        <f>SUM(D317)</f>
        <v>39281812.200000003</v>
      </c>
      <c r="E384" s="222">
        <f t="shared" si="31"/>
        <v>93.708135829726331</v>
      </c>
    </row>
    <row r="385" spans="1:5" ht="14.25" x14ac:dyDescent="0.2">
      <c r="A385" s="20" t="s">
        <v>14</v>
      </c>
      <c r="B385" s="265">
        <f>SUM(B351)</f>
        <v>22974000</v>
      </c>
      <c r="C385" s="265">
        <f t="shared" ref="C385:D385" si="32">SUM(C351)</f>
        <v>20913915.050000001</v>
      </c>
      <c r="D385" s="265">
        <f t="shared" si="32"/>
        <v>18489386.43</v>
      </c>
      <c r="E385" s="222">
        <f>D385/C385*100</f>
        <v>88.407103049794586</v>
      </c>
    </row>
    <row r="386" spans="1:5" ht="14.25" x14ac:dyDescent="0.2">
      <c r="A386" s="20" t="s">
        <v>342</v>
      </c>
      <c r="B386" s="265">
        <f>B375</f>
        <v>9000000</v>
      </c>
      <c r="C386" s="265">
        <f t="shared" ref="C386:D386" si="33">C375</f>
        <v>9000000</v>
      </c>
      <c r="D386" s="265">
        <f t="shared" si="33"/>
        <v>2521058</v>
      </c>
      <c r="E386" s="222">
        <f>D386/C386*100</f>
        <v>28.011755555555556</v>
      </c>
    </row>
    <row r="387" spans="1:5" ht="15.75" thickBot="1" x14ac:dyDescent="0.25">
      <c r="A387" s="21" t="s">
        <v>3</v>
      </c>
      <c r="B387" s="240">
        <f>SUM(B381:B386)</f>
        <v>279623000</v>
      </c>
      <c r="C387" s="240">
        <f t="shared" ref="C387:D387" si="34">SUM(C381:C386)</f>
        <v>223417456.53000003</v>
      </c>
      <c r="D387" s="240">
        <f t="shared" si="34"/>
        <v>197970012.13999999</v>
      </c>
      <c r="E387" s="223">
        <f t="shared" si="31"/>
        <v>88.609912231015386</v>
      </c>
    </row>
    <row r="388" spans="1:5" ht="13.5" thickTop="1" x14ac:dyDescent="0.2"/>
    <row r="389" spans="1:5" x14ac:dyDescent="0.2">
      <c r="B389" s="353"/>
      <c r="C389" s="353"/>
      <c r="D389" s="353"/>
    </row>
    <row r="392" spans="1:5" x14ac:dyDescent="0.2">
      <c r="B392" s="49"/>
      <c r="C392" s="361">
        <v>2013</v>
      </c>
      <c r="D392" s="49"/>
    </row>
    <row r="393" spans="1:5" x14ac:dyDescent="0.2">
      <c r="A393" s="47"/>
      <c r="B393" s="49">
        <v>8115</v>
      </c>
      <c r="C393" s="48">
        <v>80000000</v>
      </c>
      <c r="D393" s="49"/>
    </row>
    <row r="394" spans="1:5" x14ac:dyDescent="0.2">
      <c r="A394" s="47"/>
      <c r="B394" s="49">
        <v>8123</v>
      </c>
      <c r="C394" s="48">
        <v>5368000</v>
      </c>
      <c r="D394" s="49"/>
    </row>
    <row r="395" spans="1:5" x14ac:dyDescent="0.2">
      <c r="A395" s="49"/>
      <c r="B395" s="47" t="s">
        <v>541</v>
      </c>
      <c r="C395" s="48">
        <v>64.22</v>
      </c>
      <c r="D395" s="49"/>
    </row>
    <row r="396" spans="1:5" x14ac:dyDescent="0.2">
      <c r="A396" s="49"/>
      <c r="B396" s="49"/>
      <c r="C396" s="49"/>
      <c r="D396" s="49"/>
    </row>
    <row r="397" spans="1:5" x14ac:dyDescent="0.2">
      <c r="A397" s="49"/>
      <c r="B397" s="49"/>
      <c r="C397" s="49"/>
      <c r="D397" s="49"/>
    </row>
    <row r="398" spans="1:5" x14ac:dyDescent="0.2">
      <c r="A398" s="50"/>
      <c r="B398" s="362" t="s">
        <v>542</v>
      </c>
      <c r="C398" s="363">
        <f>SUM(C399:C404)</f>
        <v>31100846.479999959</v>
      </c>
      <c r="D398" s="364" t="s">
        <v>543</v>
      </c>
      <c r="E398" s="269"/>
    </row>
    <row r="399" spans="1:5" x14ac:dyDescent="0.2">
      <c r="A399" s="47"/>
      <c r="B399" s="365" t="s">
        <v>544</v>
      </c>
      <c r="C399" s="366">
        <v>66118497.020000003</v>
      </c>
      <c r="D399" s="364"/>
      <c r="E399" s="269"/>
    </row>
    <row r="400" spans="1:5" x14ac:dyDescent="0.2">
      <c r="A400" s="47"/>
      <c r="B400" s="365" t="s">
        <v>545</v>
      </c>
      <c r="C400" s="366">
        <v>238381000</v>
      </c>
      <c r="D400" s="364"/>
    </row>
    <row r="401" spans="1:4" x14ac:dyDescent="0.2">
      <c r="A401" s="47"/>
      <c r="B401" s="365" t="s">
        <v>546</v>
      </c>
      <c r="C401" s="366">
        <v>3761944.2</v>
      </c>
      <c r="D401" s="364" t="s">
        <v>547</v>
      </c>
    </row>
    <row r="402" spans="1:4" x14ac:dyDescent="0.2">
      <c r="A402" s="47"/>
      <c r="B402" s="365" t="s">
        <v>546</v>
      </c>
      <c r="C402" s="366">
        <v>513420</v>
      </c>
      <c r="D402" s="364" t="s">
        <v>548</v>
      </c>
    </row>
    <row r="403" spans="1:4" x14ac:dyDescent="0.2">
      <c r="A403" s="47"/>
      <c r="B403" s="365" t="s">
        <v>549</v>
      </c>
      <c r="C403" s="367">
        <v>-197674014.74000001</v>
      </c>
      <c r="D403" s="364"/>
    </row>
    <row r="404" spans="1:4" x14ac:dyDescent="0.2">
      <c r="A404" s="47"/>
      <c r="B404" s="365" t="s">
        <v>550</v>
      </c>
      <c r="C404" s="366">
        <v>-80000000</v>
      </c>
      <c r="D404" s="364"/>
    </row>
    <row r="405" spans="1:4" x14ac:dyDescent="0.2">
      <c r="A405" s="47"/>
      <c r="B405" s="368" t="s">
        <v>551</v>
      </c>
      <c r="C405" s="48"/>
      <c r="D405" s="49"/>
    </row>
    <row r="408" spans="1:4" x14ac:dyDescent="0.2">
      <c r="A408" s="369">
        <v>41302</v>
      </c>
      <c r="B408" s="370" t="s">
        <v>552</v>
      </c>
      <c r="C408" s="371">
        <v>31100846.48</v>
      </c>
    </row>
    <row r="409" spans="1:4" x14ac:dyDescent="0.2">
      <c r="C409" s="372">
        <f>-C403</f>
        <v>197674014.74000001</v>
      </c>
      <c r="D409" s="375" t="s">
        <v>554</v>
      </c>
    </row>
    <row r="410" spans="1:4" x14ac:dyDescent="0.2">
      <c r="C410" s="372">
        <f>-D387</f>
        <v>-197970012.13999999</v>
      </c>
      <c r="D410" s="375" t="s">
        <v>555</v>
      </c>
    </row>
    <row r="411" spans="1:4" x14ac:dyDescent="0.2">
      <c r="B411" s="374" t="s">
        <v>553</v>
      </c>
      <c r="C411" s="373">
        <f>SUM(C408:C410)</f>
        <v>30804849.080000013</v>
      </c>
    </row>
  </sheetData>
  <phoneticPr fontId="5" type="noConversion"/>
  <pageMargins left="0.51181102362204722" right="0.55118110236220474" top="0.74803149606299213" bottom="0.98425196850393704" header="0.51181102362204722" footer="0.51181102362204722"/>
  <pageSetup paperSize="9" scale="69" firstPageNumber="196" fitToHeight="6" orientation="portrait" useFirstPageNumber="1" r:id="rId1"/>
  <headerFooter alignWithMargins="0">
    <oddFooter>&amp;L&amp;"Arial,Kurzíva"Zastupitelstvo Olomouckého kraje 28.6.2013
6.- Závěrečný účet Olomouckého kraje za rok 2012
Příloha č. 8: Přehled financování investičních akcí v roce 2012&amp;R&amp;"Arial,Kurzíva"Strana &amp;P  (celkem 484)</oddFooter>
  </headerFooter>
  <rowBreaks count="2" manualBreakCount="2">
    <brk id="117" max="4" man="1"/>
    <brk id="3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6"/>
  <sheetViews>
    <sheetView showGridLines="0" view="pageBreakPreview" zoomScaleNormal="100" zoomScaleSheetLayoutView="100" workbookViewId="0">
      <selection activeCell="C26" sqref="C26"/>
    </sheetView>
  </sheetViews>
  <sheetFormatPr defaultRowHeight="12.75" x14ac:dyDescent="0.2"/>
  <cols>
    <col min="1" max="1" width="77.7109375" style="49" customWidth="1"/>
    <col min="2" max="2" width="17.140625" style="49" customWidth="1"/>
    <col min="3" max="3" width="16.85546875" style="49" customWidth="1"/>
    <col min="4" max="4" width="16.140625" style="49" bestFit="1" customWidth="1"/>
    <col min="5" max="5" width="7.5703125" style="99" customWidth="1"/>
    <col min="6" max="6" width="12.42578125" style="176" bestFit="1" customWidth="1"/>
    <col min="7" max="7" width="19.140625" style="100" customWidth="1"/>
    <col min="8" max="8" width="13.140625" style="100" customWidth="1"/>
    <col min="9" max="9" width="18.42578125" style="49" customWidth="1"/>
    <col min="10" max="10" width="17.42578125" style="49" customWidth="1"/>
    <col min="11" max="11" width="18.5703125" style="49" customWidth="1"/>
    <col min="12" max="16384" width="9.140625" style="49"/>
  </cols>
  <sheetData>
    <row r="1" spans="1:11" s="94" customFormat="1" ht="18" x14ac:dyDescent="0.25">
      <c r="A1" s="91" t="s">
        <v>109</v>
      </c>
      <c r="B1" s="91"/>
      <c r="C1" s="91"/>
      <c r="D1" s="91"/>
      <c r="E1" s="91"/>
      <c r="F1" s="175"/>
      <c r="G1" s="92"/>
      <c r="H1" s="93"/>
    </row>
    <row r="2" spans="1:11" s="97" customFormat="1" ht="15.75" x14ac:dyDescent="0.25">
      <c r="A2" s="95" t="s">
        <v>279</v>
      </c>
      <c r="B2" s="96"/>
      <c r="C2" s="96"/>
      <c r="D2" s="96"/>
      <c r="E2" s="96"/>
      <c r="F2" s="175"/>
      <c r="G2" s="92"/>
      <c r="H2" s="93"/>
    </row>
    <row r="3" spans="1:11" ht="12" customHeight="1" x14ac:dyDescent="0.2"/>
    <row r="4" spans="1:11" ht="15" customHeight="1" x14ac:dyDescent="0.25">
      <c r="A4" s="98" t="s">
        <v>30</v>
      </c>
    </row>
    <row r="5" spans="1:11" ht="15.75" thickBot="1" x14ac:dyDescent="0.3">
      <c r="A5" s="101" t="s">
        <v>31</v>
      </c>
      <c r="D5" s="47"/>
      <c r="E5" s="102" t="s">
        <v>18</v>
      </c>
    </row>
    <row r="6" spans="1:11" ht="14.25" thickTop="1" thickBot="1" x14ac:dyDescent="0.25">
      <c r="A6" s="103" t="s">
        <v>5</v>
      </c>
      <c r="B6" s="104" t="s">
        <v>0</v>
      </c>
      <c r="C6" s="105" t="s">
        <v>1</v>
      </c>
      <c r="D6" s="106" t="s">
        <v>4</v>
      </c>
      <c r="E6" s="107" t="s">
        <v>6</v>
      </c>
    </row>
    <row r="7" spans="1:11" ht="15.75" thickTop="1" x14ac:dyDescent="0.25">
      <c r="A7" s="108" t="s">
        <v>7</v>
      </c>
      <c r="B7" s="109">
        <f>SUM(B8:B72)</f>
        <v>49469000</v>
      </c>
      <c r="C7" s="109">
        <f t="shared" ref="C7:D7" si="0">SUM(C8:C72)</f>
        <v>59986194.960000001</v>
      </c>
      <c r="D7" s="109">
        <f t="shared" si="0"/>
        <v>53456072.899999999</v>
      </c>
      <c r="E7" s="110">
        <f>D7/C7*100</f>
        <v>89.113958529367594</v>
      </c>
      <c r="H7" s="121"/>
      <c r="I7" s="397"/>
      <c r="J7" s="398"/>
      <c r="K7" s="399"/>
    </row>
    <row r="8" spans="1:11" s="113" customFormat="1" x14ac:dyDescent="0.2">
      <c r="A8" s="432" t="s">
        <v>380</v>
      </c>
      <c r="B8" s="422">
        <v>0</v>
      </c>
      <c r="C8" s="445">
        <v>300</v>
      </c>
      <c r="D8" s="422">
        <v>300</v>
      </c>
      <c r="E8" s="111">
        <f>D8/C8*100</f>
        <v>100</v>
      </c>
      <c r="F8" s="164">
        <v>100026</v>
      </c>
      <c r="G8" s="331" t="s">
        <v>102</v>
      </c>
      <c r="H8" s="400"/>
      <c r="I8" s="401"/>
      <c r="J8" s="401"/>
      <c r="K8" s="401"/>
    </row>
    <row r="9" spans="1:11" s="171" customFormat="1" ht="25.5" x14ac:dyDescent="0.2">
      <c r="A9" s="432" t="s">
        <v>624</v>
      </c>
      <c r="B9" s="138">
        <v>9434000</v>
      </c>
      <c r="C9" s="445">
        <v>9812208</v>
      </c>
      <c r="D9" s="422">
        <v>9812206.6899999995</v>
      </c>
      <c r="E9" s="111">
        <f t="shared" ref="E9:E66" si="1">D9/C9*100</f>
        <v>99.999986649284239</v>
      </c>
      <c r="F9" s="164">
        <v>100354</v>
      </c>
      <c r="G9" s="331" t="s">
        <v>102</v>
      </c>
      <c r="H9" s="402"/>
      <c r="I9" s="403"/>
      <c r="J9" s="403"/>
      <c r="K9" s="403"/>
    </row>
    <row r="10" spans="1:11" s="171" customFormat="1" x14ac:dyDescent="0.2">
      <c r="A10" s="432" t="s">
        <v>346</v>
      </c>
      <c r="B10" s="422">
        <v>15000000</v>
      </c>
      <c r="C10" s="446">
        <v>15181000</v>
      </c>
      <c r="D10" s="446">
        <v>11246039</v>
      </c>
      <c r="E10" s="111">
        <f t="shared" si="1"/>
        <v>74.079698307094404</v>
      </c>
      <c r="F10" s="164">
        <v>100537</v>
      </c>
      <c r="G10" s="331" t="s">
        <v>102</v>
      </c>
      <c r="H10" s="402"/>
      <c r="I10" s="404"/>
      <c r="J10" s="404"/>
      <c r="K10" s="404"/>
    </row>
    <row r="11" spans="1:11" s="171" customFormat="1" x14ac:dyDescent="0.2">
      <c r="A11" s="115" t="s">
        <v>378</v>
      </c>
      <c r="B11" s="422">
        <v>16500000</v>
      </c>
      <c r="C11" s="446">
        <v>23654884.960000001</v>
      </c>
      <c r="D11" s="446">
        <v>23654884.960000001</v>
      </c>
      <c r="E11" s="111">
        <f t="shared" si="1"/>
        <v>100</v>
      </c>
      <c r="F11" s="164">
        <v>100565</v>
      </c>
      <c r="G11" s="331" t="s">
        <v>102</v>
      </c>
      <c r="H11" s="170"/>
    </row>
    <row r="12" spans="1:11" s="171" customFormat="1" ht="25.5" x14ac:dyDescent="0.2">
      <c r="A12" s="115" t="s">
        <v>344</v>
      </c>
      <c r="B12" s="422">
        <v>1720000</v>
      </c>
      <c r="C12" s="455">
        <v>1457202</v>
      </c>
      <c r="D12" s="455">
        <v>1457201.75</v>
      </c>
      <c r="E12" s="111">
        <f t="shared" si="1"/>
        <v>99.999982843833592</v>
      </c>
      <c r="F12" s="164">
        <v>100604</v>
      </c>
      <c r="G12" s="331" t="s">
        <v>102</v>
      </c>
      <c r="H12" s="170"/>
    </row>
    <row r="13" spans="1:11" s="171" customFormat="1" x14ac:dyDescent="0.2">
      <c r="A13" s="115" t="s">
        <v>379</v>
      </c>
      <c r="B13" s="422">
        <v>2150000</v>
      </c>
      <c r="C13" s="445">
        <v>2353700</v>
      </c>
      <c r="D13" s="446">
        <v>2353407</v>
      </c>
      <c r="E13" s="111">
        <f t="shared" si="1"/>
        <v>99.987551514636536</v>
      </c>
      <c r="F13" s="164">
        <v>100688</v>
      </c>
      <c r="G13" s="331" t="s">
        <v>102</v>
      </c>
      <c r="H13" s="170"/>
    </row>
    <row r="14" spans="1:11" s="171" customFormat="1" ht="25.5" x14ac:dyDescent="0.2">
      <c r="A14" s="115" t="s">
        <v>124</v>
      </c>
      <c r="B14" s="422">
        <v>25000</v>
      </c>
      <c r="C14" s="445">
        <v>25000</v>
      </c>
      <c r="D14" s="446">
        <v>15420</v>
      </c>
      <c r="E14" s="111">
        <f t="shared" si="1"/>
        <v>61.68</v>
      </c>
      <c r="F14" s="164">
        <v>100706</v>
      </c>
      <c r="G14" s="331" t="s">
        <v>102</v>
      </c>
      <c r="H14" s="170"/>
    </row>
    <row r="15" spans="1:11" s="171" customFormat="1" x14ac:dyDescent="0.2">
      <c r="A15" s="115" t="s">
        <v>128</v>
      </c>
      <c r="B15" s="422">
        <v>90000</v>
      </c>
      <c r="C15" s="422">
        <v>90000</v>
      </c>
      <c r="D15" s="446">
        <v>89447.5</v>
      </c>
      <c r="E15" s="111">
        <f t="shared" si="1"/>
        <v>99.386111111111106</v>
      </c>
      <c r="F15" s="164">
        <v>100710</v>
      </c>
      <c r="G15" s="331" t="s">
        <v>102</v>
      </c>
      <c r="H15" s="170"/>
    </row>
    <row r="16" spans="1:11" s="171" customFormat="1" x14ac:dyDescent="0.2">
      <c r="A16" s="115" t="s">
        <v>129</v>
      </c>
      <c r="B16" s="422">
        <v>339000</v>
      </c>
      <c r="C16" s="422">
        <v>339000</v>
      </c>
      <c r="D16" s="446">
        <v>9600</v>
      </c>
      <c r="E16" s="111">
        <f t="shared" si="1"/>
        <v>2.831858407079646</v>
      </c>
      <c r="F16" s="164">
        <v>100711</v>
      </c>
      <c r="G16" s="331" t="s">
        <v>102</v>
      </c>
      <c r="H16" s="170"/>
    </row>
    <row r="17" spans="1:8" s="171" customFormat="1" ht="25.5" x14ac:dyDescent="0.2">
      <c r="A17" s="115" t="s">
        <v>130</v>
      </c>
      <c r="B17" s="422">
        <v>50000</v>
      </c>
      <c r="C17" s="422">
        <v>50000</v>
      </c>
      <c r="D17" s="446">
        <v>0</v>
      </c>
      <c r="E17" s="111">
        <f t="shared" si="1"/>
        <v>0</v>
      </c>
      <c r="F17" s="164">
        <v>100712</v>
      </c>
      <c r="G17" s="331" t="s">
        <v>102</v>
      </c>
      <c r="H17" s="170"/>
    </row>
    <row r="18" spans="1:8" s="171" customFormat="1" x14ac:dyDescent="0.2">
      <c r="A18" s="115" t="s">
        <v>131</v>
      </c>
      <c r="B18" s="422">
        <v>100000</v>
      </c>
      <c r="C18" s="445">
        <v>0</v>
      </c>
      <c r="D18" s="446">
        <v>0</v>
      </c>
      <c r="E18" s="111">
        <v>0</v>
      </c>
      <c r="F18" s="164">
        <v>100713</v>
      </c>
      <c r="G18" s="331" t="s">
        <v>102</v>
      </c>
      <c r="H18" s="170"/>
    </row>
    <row r="19" spans="1:8" s="171" customFormat="1" ht="25.5" x14ac:dyDescent="0.2">
      <c r="A19" s="115" t="s">
        <v>134</v>
      </c>
      <c r="B19" s="422">
        <v>433000</v>
      </c>
      <c r="C19" s="422">
        <v>433000</v>
      </c>
      <c r="D19" s="446">
        <v>433000</v>
      </c>
      <c r="E19" s="111">
        <f t="shared" si="1"/>
        <v>100</v>
      </c>
      <c r="F19" s="164">
        <v>100716</v>
      </c>
      <c r="G19" s="331" t="s">
        <v>102</v>
      </c>
      <c r="H19" s="170"/>
    </row>
    <row r="20" spans="1:8" s="171" customFormat="1" ht="38.25" x14ac:dyDescent="0.2">
      <c r="A20" s="115" t="s">
        <v>135</v>
      </c>
      <c r="B20" s="422">
        <v>100000</v>
      </c>
      <c r="C20" s="445">
        <v>130000</v>
      </c>
      <c r="D20" s="446">
        <v>129828</v>
      </c>
      <c r="E20" s="111">
        <f t="shared" si="1"/>
        <v>99.867692307692309</v>
      </c>
      <c r="F20" s="164">
        <v>100717</v>
      </c>
      <c r="G20" s="331" t="s">
        <v>102</v>
      </c>
      <c r="H20" s="170"/>
    </row>
    <row r="21" spans="1:8" s="171" customFormat="1" ht="25.5" x14ac:dyDescent="0.2">
      <c r="A21" s="115" t="s">
        <v>136</v>
      </c>
      <c r="B21" s="422">
        <v>682000</v>
      </c>
      <c r="C21" s="445">
        <v>652000</v>
      </c>
      <c r="D21" s="446">
        <v>634454</v>
      </c>
      <c r="E21" s="111">
        <f t="shared" si="1"/>
        <v>97.308895705521465</v>
      </c>
      <c r="F21" s="164">
        <v>100718</v>
      </c>
      <c r="G21" s="331" t="s">
        <v>102</v>
      </c>
      <c r="H21" s="170"/>
    </row>
    <row r="22" spans="1:8" s="171" customFormat="1" ht="25.5" x14ac:dyDescent="0.2">
      <c r="A22" s="115" t="s">
        <v>138</v>
      </c>
      <c r="B22" s="422">
        <v>650000</v>
      </c>
      <c r="C22" s="445">
        <v>803000</v>
      </c>
      <c r="D22" s="446">
        <v>650000</v>
      </c>
      <c r="E22" s="111">
        <f t="shared" si="1"/>
        <v>80.946450809464508</v>
      </c>
      <c r="F22" s="164">
        <v>100720</v>
      </c>
      <c r="G22" s="331" t="s">
        <v>102</v>
      </c>
      <c r="H22" s="170"/>
    </row>
    <row r="23" spans="1:8" s="171" customFormat="1" x14ac:dyDescent="0.2">
      <c r="A23" s="432" t="s">
        <v>561</v>
      </c>
      <c r="B23" s="422">
        <v>200000</v>
      </c>
      <c r="C23" s="446">
        <v>200000</v>
      </c>
      <c r="D23" s="446">
        <v>0</v>
      </c>
      <c r="E23" s="111">
        <f t="shared" si="1"/>
        <v>0</v>
      </c>
      <c r="F23" s="164">
        <v>100722</v>
      </c>
      <c r="G23" s="331" t="s">
        <v>102</v>
      </c>
      <c r="H23" s="170"/>
    </row>
    <row r="24" spans="1:8" s="171" customFormat="1" ht="25.5" x14ac:dyDescent="0.2">
      <c r="A24" s="115" t="s">
        <v>144</v>
      </c>
      <c r="B24" s="422">
        <v>100000</v>
      </c>
      <c r="C24" s="446">
        <v>100000</v>
      </c>
      <c r="D24" s="446">
        <v>100000</v>
      </c>
      <c r="E24" s="111">
        <f t="shared" si="1"/>
        <v>100</v>
      </c>
      <c r="F24" s="164">
        <v>100726</v>
      </c>
      <c r="G24" s="331" t="s">
        <v>102</v>
      </c>
      <c r="H24" s="170"/>
    </row>
    <row r="25" spans="1:8" s="171" customFormat="1" x14ac:dyDescent="0.2">
      <c r="A25" s="115" t="s">
        <v>147</v>
      </c>
      <c r="B25" s="422">
        <v>150000</v>
      </c>
      <c r="C25" s="446">
        <v>0</v>
      </c>
      <c r="D25" s="446">
        <v>0</v>
      </c>
      <c r="E25" s="111">
        <v>0</v>
      </c>
      <c r="F25" s="164">
        <v>100729</v>
      </c>
      <c r="G25" s="331" t="s">
        <v>102</v>
      </c>
      <c r="H25" s="170"/>
    </row>
    <row r="26" spans="1:8" s="171" customFormat="1" x14ac:dyDescent="0.2">
      <c r="A26" s="432" t="s">
        <v>148</v>
      </c>
      <c r="B26" s="422">
        <v>200000</v>
      </c>
      <c r="C26" s="445">
        <v>0</v>
      </c>
      <c r="D26" s="446">
        <v>0</v>
      </c>
      <c r="E26" s="111">
        <v>0</v>
      </c>
      <c r="F26" s="164">
        <v>100730</v>
      </c>
      <c r="G26" s="331" t="s">
        <v>102</v>
      </c>
      <c r="H26" s="170"/>
    </row>
    <row r="27" spans="1:8" s="171" customFormat="1" ht="25.5" x14ac:dyDescent="0.2">
      <c r="A27" s="115" t="s">
        <v>149</v>
      </c>
      <c r="B27" s="422">
        <v>50000</v>
      </c>
      <c r="C27" s="445">
        <v>0</v>
      </c>
      <c r="D27" s="446">
        <v>0</v>
      </c>
      <c r="E27" s="111">
        <v>0</v>
      </c>
      <c r="F27" s="164">
        <v>100731</v>
      </c>
      <c r="G27" s="331" t="s">
        <v>102</v>
      </c>
      <c r="H27" s="170"/>
    </row>
    <row r="28" spans="1:8" s="171" customFormat="1" x14ac:dyDescent="0.2">
      <c r="A28" s="115" t="s">
        <v>150</v>
      </c>
      <c r="B28" s="422">
        <v>200000</v>
      </c>
      <c r="C28" s="445">
        <v>0</v>
      </c>
      <c r="D28" s="446">
        <v>0</v>
      </c>
      <c r="E28" s="111">
        <v>0</v>
      </c>
      <c r="F28" s="164">
        <v>100732</v>
      </c>
      <c r="G28" s="331" t="s">
        <v>102</v>
      </c>
      <c r="H28" s="170"/>
    </row>
    <row r="29" spans="1:8" s="171" customFormat="1" x14ac:dyDescent="0.2">
      <c r="A29" s="115" t="s">
        <v>153</v>
      </c>
      <c r="B29" s="422">
        <v>100000</v>
      </c>
      <c r="C29" s="445">
        <v>0</v>
      </c>
      <c r="D29" s="446">
        <v>0</v>
      </c>
      <c r="E29" s="111">
        <v>0</v>
      </c>
      <c r="F29" s="164">
        <v>100735</v>
      </c>
      <c r="G29" s="331" t="s">
        <v>102</v>
      </c>
      <c r="H29" s="170"/>
    </row>
    <row r="30" spans="1:8" s="171" customFormat="1" ht="24" customHeight="1" x14ac:dyDescent="0.2">
      <c r="A30" s="115" t="s">
        <v>156</v>
      </c>
      <c r="B30" s="422">
        <v>30000</v>
      </c>
      <c r="C30" s="445">
        <v>0</v>
      </c>
      <c r="D30" s="446">
        <v>0</v>
      </c>
      <c r="E30" s="111">
        <v>0</v>
      </c>
      <c r="F30" s="164">
        <v>100738</v>
      </c>
      <c r="G30" s="331" t="s">
        <v>102</v>
      </c>
      <c r="H30" s="170"/>
    </row>
    <row r="31" spans="1:8" s="171" customFormat="1" ht="25.5" customHeight="1" x14ac:dyDescent="0.2">
      <c r="A31" s="115" t="s">
        <v>157</v>
      </c>
      <c r="B31" s="422">
        <v>200000</v>
      </c>
      <c r="C31" s="445">
        <v>0</v>
      </c>
      <c r="D31" s="446">
        <v>0</v>
      </c>
      <c r="E31" s="111">
        <v>0</v>
      </c>
      <c r="F31" s="164">
        <v>100739</v>
      </c>
      <c r="G31" s="331" t="s">
        <v>102</v>
      </c>
      <c r="H31" s="170"/>
    </row>
    <row r="32" spans="1:8" s="171" customFormat="1" x14ac:dyDescent="0.2">
      <c r="A32" s="115" t="s">
        <v>158</v>
      </c>
      <c r="B32" s="422">
        <v>300000</v>
      </c>
      <c r="C32" s="445">
        <v>147000</v>
      </c>
      <c r="D32" s="446">
        <v>0</v>
      </c>
      <c r="E32" s="111">
        <v>0</v>
      </c>
      <c r="F32" s="164">
        <v>100740</v>
      </c>
      <c r="G32" s="331" t="s">
        <v>102</v>
      </c>
      <c r="H32" s="170"/>
    </row>
    <row r="33" spans="1:8" s="171" customFormat="1" ht="25.5" x14ac:dyDescent="0.2">
      <c r="A33" s="115" t="s">
        <v>160</v>
      </c>
      <c r="B33" s="422">
        <v>80000</v>
      </c>
      <c r="C33" s="445">
        <v>0</v>
      </c>
      <c r="D33" s="446">
        <v>0</v>
      </c>
      <c r="E33" s="111">
        <v>0</v>
      </c>
      <c r="F33" s="164">
        <v>100743</v>
      </c>
      <c r="G33" s="331" t="s">
        <v>102</v>
      </c>
      <c r="H33" s="170"/>
    </row>
    <row r="34" spans="1:8" s="171" customFormat="1" x14ac:dyDescent="0.2">
      <c r="A34" s="115" t="s">
        <v>161</v>
      </c>
      <c r="B34" s="422">
        <v>50000</v>
      </c>
      <c r="C34" s="445">
        <v>0</v>
      </c>
      <c r="D34" s="446">
        <v>0</v>
      </c>
      <c r="E34" s="111">
        <v>0</v>
      </c>
      <c r="F34" s="164">
        <v>100744</v>
      </c>
      <c r="G34" s="331" t="s">
        <v>102</v>
      </c>
      <c r="H34" s="170"/>
    </row>
    <row r="35" spans="1:8" s="171" customFormat="1" x14ac:dyDescent="0.2">
      <c r="A35" s="115" t="s">
        <v>163</v>
      </c>
      <c r="B35" s="422">
        <v>136000</v>
      </c>
      <c r="C35" s="445">
        <v>136000</v>
      </c>
      <c r="D35" s="446">
        <v>136000</v>
      </c>
      <c r="E35" s="111">
        <f t="shared" si="1"/>
        <v>100</v>
      </c>
      <c r="F35" s="164">
        <v>100746</v>
      </c>
      <c r="G35" s="331" t="s">
        <v>102</v>
      </c>
      <c r="H35" s="170"/>
    </row>
    <row r="36" spans="1:8" s="171" customFormat="1" ht="25.5" x14ac:dyDescent="0.2">
      <c r="A36" s="115" t="s">
        <v>167</v>
      </c>
      <c r="B36" s="422">
        <v>400000</v>
      </c>
      <c r="C36" s="445">
        <v>400000</v>
      </c>
      <c r="D36" s="446">
        <v>400000</v>
      </c>
      <c r="E36" s="111">
        <f t="shared" si="1"/>
        <v>100</v>
      </c>
      <c r="F36" s="164">
        <v>100750</v>
      </c>
      <c r="G36" s="331" t="s">
        <v>102</v>
      </c>
      <c r="H36" s="170"/>
    </row>
    <row r="37" spans="1:8" s="171" customFormat="1" ht="24" customHeight="1" x14ac:dyDescent="0.2">
      <c r="A37" s="115" t="s">
        <v>381</v>
      </c>
      <c r="B37" s="422">
        <v>0</v>
      </c>
      <c r="C37" s="445">
        <v>1000</v>
      </c>
      <c r="D37" s="446">
        <v>300</v>
      </c>
      <c r="E37" s="111">
        <f t="shared" si="1"/>
        <v>30</v>
      </c>
      <c r="F37" s="172">
        <v>100087</v>
      </c>
      <c r="G37" s="393" t="s">
        <v>96</v>
      </c>
      <c r="H37" s="170"/>
    </row>
    <row r="38" spans="1:8" s="171" customFormat="1" ht="13.5" customHeight="1" x14ac:dyDescent="0.2">
      <c r="A38" s="115" t="s">
        <v>382</v>
      </c>
      <c r="B38" s="422">
        <v>0</v>
      </c>
      <c r="C38" s="454">
        <v>30000</v>
      </c>
      <c r="D38" s="455">
        <v>17184</v>
      </c>
      <c r="E38" s="111">
        <f t="shared" si="1"/>
        <v>57.28</v>
      </c>
      <c r="F38" s="172">
        <v>100133</v>
      </c>
      <c r="G38" s="393" t="s">
        <v>96</v>
      </c>
      <c r="H38" s="170"/>
    </row>
    <row r="39" spans="1:8" s="171" customFormat="1" x14ac:dyDescent="0.2">
      <c r="A39" s="453" t="s">
        <v>383</v>
      </c>
      <c r="B39" s="422">
        <v>0</v>
      </c>
      <c r="C39" s="455">
        <v>275360</v>
      </c>
      <c r="D39" s="455">
        <v>75360</v>
      </c>
      <c r="E39" s="111">
        <f t="shared" si="1"/>
        <v>27.367809413131898</v>
      </c>
      <c r="F39" s="172">
        <v>100134</v>
      </c>
      <c r="G39" s="393" t="s">
        <v>96</v>
      </c>
      <c r="H39" s="170"/>
    </row>
    <row r="40" spans="1:8" s="171" customFormat="1" x14ac:dyDescent="0.2">
      <c r="A40" s="115" t="s">
        <v>391</v>
      </c>
      <c r="B40" s="422">
        <v>0</v>
      </c>
      <c r="C40" s="455">
        <v>28000</v>
      </c>
      <c r="D40" s="455">
        <v>0</v>
      </c>
      <c r="E40" s="111">
        <f t="shared" si="1"/>
        <v>0</v>
      </c>
      <c r="F40" s="164">
        <v>100135</v>
      </c>
      <c r="G40" s="393" t="s">
        <v>96</v>
      </c>
      <c r="H40" s="170"/>
    </row>
    <row r="41" spans="1:8" s="171" customFormat="1" x14ac:dyDescent="0.2">
      <c r="A41" s="115" t="s">
        <v>384</v>
      </c>
      <c r="B41" s="422">
        <v>0</v>
      </c>
      <c r="C41" s="455">
        <v>35000</v>
      </c>
      <c r="D41" s="455">
        <v>35000</v>
      </c>
      <c r="E41" s="111">
        <f t="shared" si="1"/>
        <v>100</v>
      </c>
      <c r="F41" s="164">
        <v>100461</v>
      </c>
      <c r="G41" s="393" t="s">
        <v>96</v>
      </c>
      <c r="H41" s="170"/>
    </row>
    <row r="42" spans="1:8" s="171" customFormat="1" x14ac:dyDescent="0.2">
      <c r="A42" s="115" t="s">
        <v>385</v>
      </c>
      <c r="B42" s="422">
        <v>0</v>
      </c>
      <c r="C42" s="455">
        <v>14000</v>
      </c>
      <c r="D42" s="455">
        <v>13560</v>
      </c>
      <c r="E42" s="111">
        <f t="shared" si="1"/>
        <v>96.857142857142847</v>
      </c>
      <c r="F42" s="164">
        <v>100462</v>
      </c>
      <c r="G42" s="393" t="s">
        <v>96</v>
      </c>
      <c r="H42" s="170"/>
    </row>
    <row r="43" spans="1:8" s="171" customFormat="1" x14ac:dyDescent="0.2">
      <c r="A43" s="115" t="s">
        <v>392</v>
      </c>
      <c r="B43" s="422">
        <v>0</v>
      </c>
      <c r="C43" s="455">
        <v>46800</v>
      </c>
      <c r="D43" s="455">
        <v>46800</v>
      </c>
      <c r="E43" s="111">
        <f t="shared" si="1"/>
        <v>100</v>
      </c>
      <c r="F43" s="164">
        <v>100463</v>
      </c>
      <c r="G43" s="393" t="s">
        <v>96</v>
      </c>
      <c r="H43" s="170"/>
    </row>
    <row r="44" spans="1:8" s="171" customFormat="1" x14ac:dyDescent="0.2">
      <c r="A44" s="115" t="s">
        <v>393</v>
      </c>
      <c r="B44" s="422">
        <v>0</v>
      </c>
      <c r="C44" s="455">
        <v>219952</v>
      </c>
      <c r="D44" s="455">
        <v>116952</v>
      </c>
      <c r="E44" s="111">
        <f t="shared" si="1"/>
        <v>53.171601076598527</v>
      </c>
      <c r="F44" s="164">
        <v>100465</v>
      </c>
      <c r="G44" s="393" t="s">
        <v>96</v>
      </c>
      <c r="H44" s="170"/>
    </row>
    <row r="45" spans="1:8" s="171" customFormat="1" x14ac:dyDescent="0.2">
      <c r="A45" s="115" t="s">
        <v>394</v>
      </c>
      <c r="B45" s="422">
        <v>0</v>
      </c>
      <c r="C45" s="455">
        <v>32400</v>
      </c>
      <c r="D45" s="455">
        <v>32400</v>
      </c>
      <c r="E45" s="111">
        <f t="shared" si="1"/>
        <v>100</v>
      </c>
      <c r="F45" s="164">
        <v>100469</v>
      </c>
      <c r="G45" s="393" t="s">
        <v>96</v>
      </c>
      <c r="H45" s="170"/>
    </row>
    <row r="46" spans="1:8" s="171" customFormat="1" x14ac:dyDescent="0.2">
      <c r="A46" s="115" t="s">
        <v>633</v>
      </c>
      <c r="B46" s="422">
        <v>0</v>
      </c>
      <c r="C46" s="455">
        <v>302240</v>
      </c>
      <c r="D46" s="455">
        <v>102240</v>
      </c>
      <c r="E46" s="111">
        <f t="shared" si="1"/>
        <v>33.827421916357864</v>
      </c>
      <c r="F46" s="164">
        <v>100473</v>
      </c>
      <c r="G46" s="393" t="s">
        <v>96</v>
      </c>
      <c r="H46" s="170"/>
    </row>
    <row r="47" spans="1:8" s="171" customFormat="1" x14ac:dyDescent="0.2">
      <c r="A47" s="115" t="s">
        <v>386</v>
      </c>
      <c r="B47" s="422">
        <v>0</v>
      </c>
      <c r="C47" s="455">
        <v>48000</v>
      </c>
      <c r="D47" s="455">
        <v>48000</v>
      </c>
      <c r="E47" s="111">
        <f t="shared" si="1"/>
        <v>100</v>
      </c>
      <c r="F47" s="164">
        <v>100510</v>
      </c>
      <c r="G47" s="393" t="s">
        <v>96</v>
      </c>
      <c r="H47" s="170"/>
    </row>
    <row r="48" spans="1:8" s="171" customFormat="1" x14ac:dyDescent="0.2">
      <c r="A48" s="115" t="s">
        <v>395</v>
      </c>
      <c r="B48" s="422">
        <v>0</v>
      </c>
      <c r="C48" s="455">
        <v>36000</v>
      </c>
      <c r="D48" s="455">
        <v>36000</v>
      </c>
      <c r="E48" s="111">
        <f t="shared" si="1"/>
        <v>100</v>
      </c>
      <c r="F48" s="164">
        <v>100511</v>
      </c>
      <c r="G48" s="393" t="s">
        <v>96</v>
      </c>
      <c r="H48" s="170"/>
    </row>
    <row r="49" spans="1:8" s="171" customFormat="1" x14ac:dyDescent="0.2">
      <c r="A49" s="115" t="s">
        <v>396</v>
      </c>
      <c r="B49" s="422">
        <v>0</v>
      </c>
      <c r="C49" s="455">
        <v>239600</v>
      </c>
      <c r="D49" s="455">
        <v>39600</v>
      </c>
      <c r="E49" s="111">
        <f t="shared" si="1"/>
        <v>16.527545909849749</v>
      </c>
      <c r="F49" s="164">
        <v>100512</v>
      </c>
      <c r="G49" s="393" t="s">
        <v>96</v>
      </c>
      <c r="H49" s="170"/>
    </row>
    <row r="50" spans="1:8" s="171" customFormat="1" x14ac:dyDescent="0.2">
      <c r="A50" s="115" t="s">
        <v>397</v>
      </c>
      <c r="B50" s="422">
        <v>0</v>
      </c>
      <c r="C50" s="455">
        <v>57120</v>
      </c>
      <c r="D50" s="455">
        <v>57120</v>
      </c>
      <c r="E50" s="111">
        <f t="shared" si="1"/>
        <v>100</v>
      </c>
      <c r="F50" s="164">
        <v>100513</v>
      </c>
      <c r="G50" s="393" t="s">
        <v>96</v>
      </c>
      <c r="H50" s="170"/>
    </row>
    <row r="51" spans="1:8" s="171" customFormat="1" ht="21.75" customHeight="1" x14ac:dyDescent="0.2">
      <c r="A51" s="115" t="s">
        <v>398</v>
      </c>
      <c r="B51" s="422">
        <v>0</v>
      </c>
      <c r="C51" s="445">
        <v>25320</v>
      </c>
      <c r="D51" s="446">
        <v>25320</v>
      </c>
      <c r="E51" s="111">
        <f t="shared" si="1"/>
        <v>100</v>
      </c>
      <c r="F51" s="164">
        <v>100545</v>
      </c>
      <c r="G51" s="393" t="s">
        <v>96</v>
      </c>
      <c r="H51" s="170"/>
    </row>
    <row r="52" spans="1:8" s="171" customFormat="1" x14ac:dyDescent="0.2">
      <c r="A52" s="115" t="s">
        <v>399</v>
      </c>
      <c r="B52" s="422">
        <v>0</v>
      </c>
      <c r="C52" s="445">
        <v>204360</v>
      </c>
      <c r="D52" s="446">
        <v>54360</v>
      </c>
      <c r="E52" s="111">
        <f t="shared" si="1"/>
        <v>26.600117439812099</v>
      </c>
      <c r="F52" s="164">
        <v>100546</v>
      </c>
      <c r="G52" s="393" t="s">
        <v>96</v>
      </c>
      <c r="H52" s="170"/>
    </row>
    <row r="53" spans="1:8" s="171" customFormat="1" x14ac:dyDescent="0.2">
      <c r="A53" s="115" t="s">
        <v>387</v>
      </c>
      <c r="B53" s="422">
        <v>0</v>
      </c>
      <c r="C53" s="445">
        <v>193560</v>
      </c>
      <c r="D53" s="446">
        <v>43560</v>
      </c>
      <c r="E53" s="111">
        <f t="shared" si="1"/>
        <v>22.50464972101674</v>
      </c>
      <c r="F53" s="164">
        <v>100547</v>
      </c>
      <c r="G53" s="393" t="s">
        <v>96</v>
      </c>
      <c r="H53" s="170"/>
    </row>
    <row r="54" spans="1:8" s="171" customFormat="1" ht="12.75" customHeight="1" x14ac:dyDescent="0.2">
      <c r="A54" s="115" t="s">
        <v>400</v>
      </c>
      <c r="B54" s="422">
        <v>0</v>
      </c>
      <c r="C54" s="445">
        <v>44400</v>
      </c>
      <c r="D54" s="446">
        <v>44400</v>
      </c>
      <c r="E54" s="111">
        <f t="shared" si="1"/>
        <v>100</v>
      </c>
      <c r="F54" s="164">
        <v>100548</v>
      </c>
      <c r="G54" s="393" t="s">
        <v>96</v>
      </c>
      <c r="H54" s="170"/>
    </row>
    <row r="55" spans="1:8" s="171" customFormat="1" x14ac:dyDescent="0.2">
      <c r="A55" s="115" t="s">
        <v>388</v>
      </c>
      <c r="B55" s="422">
        <v>0</v>
      </c>
      <c r="C55" s="445">
        <v>75000</v>
      </c>
      <c r="D55" s="446">
        <v>20400</v>
      </c>
      <c r="E55" s="111">
        <f t="shared" si="1"/>
        <v>27.200000000000003</v>
      </c>
      <c r="F55" s="164">
        <v>100549</v>
      </c>
      <c r="G55" s="393" t="s">
        <v>96</v>
      </c>
      <c r="H55" s="170"/>
    </row>
    <row r="56" spans="1:8" s="171" customFormat="1" ht="15.75" customHeight="1" x14ac:dyDescent="0.2">
      <c r="A56" s="115" t="s">
        <v>401</v>
      </c>
      <c r="B56" s="422">
        <v>0</v>
      </c>
      <c r="C56" s="445">
        <v>200392</v>
      </c>
      <c r="D56" s="446">
        <v>100392</v>
      </c>
      <c r="E56" s="111">
        <f t="shared" si="1"/>
        <v>50.09780829574035</v>
      </c>
      <c r="F56" s="164">
        <v>100552</v>
      </c>
      <c r="G56" s="393" t="s">
        <v>96</v>
      </c>
      <c r="H56" s="170"/>
    </row>
    <row r="57" spans="1:8" s="171" customFormat="1" ht="25.5" x14ac:dyDescent="0.2">
      <c r="A57" s="115" t="s">
        <v>402</v>
      </c>
      <c r="B57" s="422">
        <v>0</v>
      </c>
      <c r="C57" s="446">
        <v>52560</v>
      </c>
      <c r="D57" s="445">
        <v>52560</v>
      </c>
      <c r="E57" s="111">
        <f t="shared" si="1"/>
        <v>100</v>
      </c>
      <c r="F57" s="164">
        <v>100553</v>
      </c>
      <c r="G57" s="393" t="s">
        <v>96</v>
      </c>
      <c r="H57" s="170"/>
    </row>
    <row r="58" spans="1:8" s="171" customFormat="1" ht="25.5" x14ac:dyDescent="0.2">
      <c r="A58" s="115" t="s">
        <v>403</v>
      </c>
      <c r="B58" s="422">
        <v>0</v>
      </c>
      <c r="C58" s="445">
        <v>24360</v>
      </c>
      <c r="D58" s="446">
        <v>24360</v>
      </c>
      <c r="E58" s="111">
        <f t="shared" si="1"/>
        <v>100</v>
      </c>
      <c r="F58" s="164">
        <v>100554</v>
      </c>
      <c r="G58" s="393" t="s">
        <v>96</v>
      </c>
      <c r="H58" s="170"/>
    </row>
    <row r="59" spans="1:8" s="171" customFormat="1" x14ac:dyDescent="0.2">
      <c r="A59" s="115" t="s">
        <v>404</v>
      </c>
      <c r="B59" s="422">
        <v>0</v>
      </c>
      <c r="C59" s="445">
        <v>36720</v>
      </c>
      <c r="D59" s="446">
        <v>36720</v>
      </c>
      <c r="E59" s="111">
        <f t="shared" si="1"/>
        <v>100</v>
      </c>
      <c r="F59" s="164">
        <v>100559</v>
      </c>
      <c r="G59" s="393" t="s">
        <v>96</v>
      </c>
      <c r="H59" s="170"/>
    </row>
    <row r="60" spans="1:8" s="171" customFormat="1" x14ac:dyDescent="0.2">
      <c r="A60" s="115" t="s">
        <v>405</v>
      </c>
      <c r="B60" s="422">
        <v>0</v>
      </c>
      <c r="C60" s="445">
        <v>217480</v>
      </c>
      <c r="D60" s="446">
        <v>117480</v>
      </c>
      <c r="E60" s="111">
        <f t="shared" si="1"/>
        <v>54.018760345778929</v>
      </c>
      <c r="F60" s="164">
        <v>100561</v>
      </c>
      <c r="G60" s="393" t="s">
        <v>96</v>
      </c>
      <c r="H60" s="170"/>
    </row>
    <row r="61" spans="1:8" s="171" customFormat="1" x14ac:dyDescent="0.2">
      <c r="A61" s="115" t="s">
        <v>406</v>
      </c>
      <c r="B61" s="422">
        <v>0</v>
      </c>
      <c r="C61" s="445">
        <v>166000</v>
      </c>
      <c r="D61" s="446">
        <v>28800</v>
      </c>
      <c r="E61" s="111">
        <f t="shared" si="1"/>
        <v>17.349397590361445</v>
      </c>
      <c r="F61" s="164">
        <v>100562</v>
      </c>
      <c r="G61" s="393" t="s">
        <v>96</v>
      </c>
      <c r="H61" s="170"/>
    </row>
    <row r="62" spans="1:8" s="171" customFormat="1" x14ac:dyDescent="0.2">
      <c r="A62" s="115" t="s">
        <v>407</v>
      </c>
      <c r="B62" s="422">
        <v>0</v>
      </c>
      <c r="C62" s="445">
        <v>129100</v>
      </c>
      <c r="D62" s="446">
        <v>14400</v>
      </c>
      <c r="E62" s="111">
        <f t="shared" si="1"/>
        <v>11.154144074360961</v>
      </c>
      <c r="F62" s="164">
        <v>100563</v>
      </c>
      <c r="G62" s="393" t="s">
        <v>96</v>
      </c>
      <c r="H62" s="170"/>
    </row>
    <row r="63" spans="1:8" s="171" customFormat="1" x14ac:dyDescent="0.2">
      <c r="A63" s="115" t="s">
        <v>389</v>
      </c>
      <c r="B63" s="422">
        <v>0</v>
      </c>
      <c r="C63" s="445">
        <v>118800</v>
      </c>
      <c r="D63" s="446">
        <v>118800</v>
      </c>
      <c r="E63" s="111">
        <f t="shared" si="1"/>
        <v>100</v>
      </c>
      <c r="F63" s="164">
        <v>100573</v>
      </c>
      <c r="G63" s="393" t="s">
        <v>96</v>
      </c>
      <c r="H63" s="170"/>
    </row>
    <row r="64" spans="1:8" s="171" customFormat="1" x14ac:dyDescent="0.2">
      <c r="A64" s="115" t="s">
        <v>390</v>
      </c>
      <c r="B64" s="422">
        <v>0</v>
      </c>
      <c r="C64" s="445">
        <v>171120</v>
      </c>
      <c r="D64" s="446">
        <v>171120</v>
      </c>
      <c r="E64" s="111">
        <f t="shared" si="1"/>
        <v>100</v>
      </c>
      <c r="F64" s="164">
        <v>100575</v>
      </c>
      <c r="G64" s="393" t="s">
        <v>96</v>
      </c>
      <c r="H64" s="170"/>
    </row>
    <row r="65" spans="1:8" s="171" customFormat="1" x14ac:dyDescent="0.2">
      <c r="A65" s="115" t="s">
        <v>408</v>
      </c>
      <c r="B65" s="422">
        <v>0</v>
      </c>
      <c r="C65" s="446">
        <v>120720</v>
      </c>
      <c r="D65" s="446">
        <v>120720</v>
      </c>
      <c r="E65" s="111">
        <f t="shared" si="1"/>
        <v>100</v>
      </c>
      <c r="F65" s="164">
        <v>100694</v>
      </c>
      <c r="G65" s="393" t="s">
        <v>96</v>
      </c>
      <c r="H65" s="170"/>
    </row>
    <row r="66" spans="1:8" s="171" customFormat="1" x14ac:dyDescent="0.2">
      <c r="A66" s="115" t="s">
        <v>409</v>
      </c>
      <c r="B66" s="422">
        <v>0</v>
      </c>
      <c r="C66" s="446">
        <v>356536</v>
      </c>
      <c r="D66" s="446">
        <v>323976</v>
      </c>
      <c r="E66" s="111">
        <f t="shared" si="1"/>
        <v>90.867682365876107</v>
      </c>
      <c r="F66" s="164">
        <v>100792</v>
      </c>
      <c r="G66" s="393" t="s">
        <v>96</v>
      </c>
      <c r="H66" s="170"/>
    </row>
    <row r="67" spans="1:8" s="171" customFormat="1" x14ac:dyDescent="0.2">
      <c r="A67" s="115" t="s">
        <v>410</v>
      </c>
      <c r="B67" s="422">
        <v>0</v>
      </c>
      <c r="C67" s="446">
        <v>130000</v>
      </c>
      <c r="D67" s="446">
        <v>118800</v>
      </c>
      <c r="E67" s="111">
        <f t="shared" ref="E67:E68" si="2">D67/C67*100</f>
        <v>91.384615384615387</v>
      </c>
      <c r="F67" s="164">
        <v>100793</v>
      </c>
      <c r="G67" s="393" t="s">
        <v>96</v>
      </c>
      <c r="H67" s="170"/>
    </row>
    <row r="68" spans="1:8" s="113" customFormat="1" ht="13.5" thickBot="1" x14ac:dyDescent="0.25">
      <c r="A68" s="428" t="s">
        <v>411</v>
      </c>
      <c r="B68" s="419">
        <v>0</v>
      </c>
      <c r="C68" s="452">
        <v>120000</v>
      </c>
      <c r="D68" s="452">
        <v>118800</v>
      </c>
      <c r="E68" s="420">
        <f t="shared" si="2"/>
        <v>99</v>
      </c>
      <c r="F68" s="164">
        <v>100794</v>
      </c>
      <c r="G68" s="393" t="s">
        <v>96</v>
      </c>
      <c r="H68" s="112"/>
    </row>
    <row r="69" spans="1:8" s="113" customFormat="1" ht="16.5" thickTop="1" thickBot="1" x14ac:dyDescent="0.25">
      <c r="A69" s="122"/>
      <c r="B69" s="49"/>
      <c r="C69" s="49"/>
      <c r="D69" s="47"/>
      <c r="E69" s="102" t="s">
        <v>18</v>
      </c>
      <c r="F69" s="164"/>
      <c r="G69" s="393"/>
      <c r="H69" s="112"/>
    </row>
    <row r="70" spans="1:8" s="113" customFormat="1" ht="14.25" thickTop="1" thickBot="1" x14ac:dyDescent="0.25">
      <c r="A70" s="103" t="s">
        <v>5</v>
      </c>
      <c r="B70" s="104" t="s">
        <v>0</v>
      </c>
      <c r="C70" s="105" t="s">
        <v>1</v>
      </c>
      <c r="D70" s="106" t="s">
        <v>4</v>
      </c>
      <c r="E70" s="107" t="s">
        <v>6</v>
      </c>
      <c r="F70" s="164"/>
      <c r="G70" s="393"/>
      <c r="H70" s="112"/>
    </row>
    <row r="71" spans="1:8" s="113" customFormat="1" ht="13.5" thickTop="1" x14ac:dyDescent="0.2">
      <c r="A71" s="115" t="s">
        <v>363</v>
      </c>
      <c r="B71" s="422">
        <v>0</v>
      </c>
      <c r="C71" s="446">
        <v>150000</v>
      </c>
      <c r="D71" s="446">
        <v>118800</v>
      </c>
      <c r="E71" s="111">
        <f>D71/C71*100</f>
        <v>79.2</v>
      </c>
      <c r="F71" s="164">
        <v>100795</v>
      </c>
      <c r="G71" s="393" t="s">
        <v>96</v>
      </c>
      <c r="H71" s="112"/>
    </row>
    <row r="72" spans="1:8" s="113" customFormat="1" ht="13.5" thickBot="1" x14ac:dyDescent="0.25">
      <c r="A72" s="428" t="s">
        <v>412</v>
      </c>
      <c r="B72" s="419">
        <v>0</v>
      </c>
      <c r="C72" s="452">
        <v>120000</v>
      </c>
      <c r="D72" s="452">
        <v>60000</v>
      </c>
      <c r="E72" s="420">
        <f t="shared" ref="E72" si="3">D72/C72*100</f>
        <v>50</v>
      </c>
      <c r="F72" s="164">
        <v>100815</v>
      </c>
      <c r="G72" s="393" t="s">
        <v>96</v>
      </c>
      <c r="H72" s="112"/>
    </row>
    <row r="73" spans="1:8" s="113" customFormat="1" ht="13.5" thickTop="1" x14ac:dyDescent="0.2">
      <c r="A73" s="174"/>
      <c r="B73" s="116"/>
      <c r="C73" s="114"/>
      <c r="D73" s="114"/>
      <c r="E73" s="117"/>
      <c r="F73" s="172"/>
      <c r="G73" s="112"/>
      <c r="H73" s="112"/>
    </row>
    <row r="74" spans="1:8" ht="15.75" thickBot="1" x14ac:dyDescent="0.25">
      <c r="A74" s="122" t="s">
        <v>63</v>
      </c>
      <c r="D74" s="47"/>
      <c r="E74" s="102" t="s">
        <v>18</v>
      </c>
    </row>
    <row r="75" spans="1:8" ht="14.25" thickTop="1" thickBot="1" x14ac:dyDescent="0.25">
      <c r="A75" s="103" t="s">
        <v>5</v>
      </c>
      <c r="B75" s="104" t="s">
        <v>0</v>
      </c>
      <c r="C75" s="105" t="s">
        <v>1</v>
      </c>
      <c r="D75" s="106" t="s">
        <v>4</v>
      </c>
      <c r="E75" s="107" t="s">
        <v>6</v>
      </c>
    </row>
    <row r="76" spans="1:8" ht="15.75" thickTop="1" x14ac:dyDescent="0.2">
      <c r="A76" s="108" t="s">
        <v>7</v>
      </c>
      <c r="B76" s="109">
        <f>SUM(B77:B80)</f>
        <v>0</v>
      </c>
      <c r="C76" s="109">
        <f t="shared" ref="C76:D76" si="4">SUM(C77:C80)</f>
        <v>1502026</v>
      </c>
      <c r="D76" s="109">
        <f t="shared" si="4"/>
        <v>1502026</v>
      </c>
      <c r="E76" s="123">
        <f>D76/C76*100</f>
        <v>100</v>
      </c>
      <c r="F76" s="99"/>
    </row>
    <row r="77" spans="1:8" s="125" customFormat="1" x14ac:dyDescent="0.2">
      <c r="A77" s="74" t="s">
        <v>499</v>
      </c>
      <c r="B77" s="424">
        <v>0</v>
      </c>
      <c r="C77" s="424">
        <v>130000</v>
      </c>
      <c r="D77" s="424">
        <v>130000</v>
      </c>
      <c r="E77" s="111">
        <f t="shared" ref="E77:E80" si="5">D77/C77*100</f>
        <v>100</v>
      </c>
      <c r="F77" s="166">
        <v>1033</v>
      </c>
      <c r="G77" s="349" t="s">
        <v>414</v>
      </c>
      <c r="H77" s="124"/>
    </row>
    <row r="78" spans="1:8" s="140" customFormat="1" x14ac:dyDescent="0.2">
      <c r="A78" s="453" t="s">
        <v>498</v>
      </c>
      <c r="B78" s="422">
        <v>0</v>
      </c>
      <c r="C78" s="422">
        <v>86026</v>
      </c>
      <c r="D78" s="422">
        <v>86026</v>
      </c>
      <c r="E78" s="111">
        <f t="shared" si="5"/>
        <v>100</v>
      </c>
      <c r="F78" s="180">
        <v>1043</v>
      </c>
      <c r="G78" s="349" t="s">
        <v>414</v>
      </c>
      <c r="H78" s="139"/>
    </row>
    <row r="79" spans="1:8" s="125" customFormat="1" x14ac:dyDescent="0.2">
      <c r="A79" s="74" t="s">
        <v>631</v>
      </c>
      <c r="B79" s="422">
        <v>0</v>
      </c>
      <c r="C79" s="422">
        <v>886000</v>
      </c>
      <c r="D79" s="422">
        <v>886000</v>
      </c>
      <c r="E79" s="111">
        <f t="shared" si="5"/>
        <v>100</v>
      </c>
      <c r="F79" s="166">
        <v>1150</v>
      </c>
      <c r="G79" s="349" t="s">
        <v>414</v>
      </c>
      <c r="H79" s="124"/>
    </row>
    <row r="80" spans="1:8" s="140" customFormat="1" ht="26.25" thickBot="1" x14ac:dyDescent="0.25">
      <c r="A80" s="428" t="s">
        <v>632</v>
      </c>
      <c r="B80" s="419">
        <v>0</v>
      </c>
      <c r="C80" s="419">
        <v>400000</v>
      </c>
      <c r="D80" s="419">
        <v>400000</v>
      </c>
      <c r="E80" s="420">
        <f t="shared" si="5"/>
        <v>100</v>
      </c>
      <c r="F80" s="180">
        <v>1200</v>
      </c>
      <c r="G80" s="349" t="s">
        <v>414</v>
      </c>
      <c r="H80" s="139"/>
    </row>
    <row r="81" spans="1:11" ht="13.5" thickTop="1" x14ac:dyDescent="0.2">
      <c r="A81" s="126"/>
      <c r="B81" s="116"/>
      <c r="C81" s="120"/>
      <c r="D81" s="114"/>
      <c r="E81" s="117"/>
      <c r="F81" s="99"/>
      <c r="H81" s="391" t="s">
        <v>416</v>
      </c>
      <c r="I81" s="396">
        <v>0</v>
      </c>
      <c r="J81" s="396">
        <v>0</v>
      </c>
      <c r="K81" s="396">
        <v>0</v>
      </c>
    </row>
    <row r="82" spans="1:11" ht="15" customHeight="1" thickBot="1" x14ac:dyDescent="0.3">
      <c r="A82" s="101" t="s">
        <v>324</v>
      </c>
      <c r="E82" s="102" t="s">
        <v>18</v>
      </c>
      <c r="F82" s="49"/>
      <c r="G82" s="187"/>
      <c r="H82" s="389" t="s">
        <v>415</v>
      </c>
      <c r="I82" s="390">
        <f>B84</f>
        <v>0</v>
      </c>
      <c r="J82" s="390">
        <f t="shared" ref="J82:K82" si="6">C84</f>
        <v>3098550</v>
      </c>
      <c r="K82" s="390">
        <f t="shared" si="6"/>
        <v>3098300</v>
      </c>
    </row>
    <row r="83" spans="1:11" ht="14.25" thickTop="1" thickBot="1" x14ac:dyDescent="0.25">
      <c r="A83" s="103" t="s">
        <v>5</v>
      </c>
      <c r="B83" s="104" t="s">
        <v>0</v>
      </c>
      <c r="C83" s="105" t="s">
        <v>1</v>
      </c>
      <c r="D83" s="106" t="s">
        <v>4</v>
      </c>
      <c r="E83" s="107" t="s">
        <v>6</v>
      </c>
      <c r="F83" s="49"/>
      <c r="G83" s="187"/>
      <c r="H83" s="331" t="s">
        <v>102</v>
      </c>
      <c r="I83" s="382">
        <f>SUM(B8:B36)</f>
        <v>49469000</v>
      </c>
      <c r="J83" s="382">
        <f t="shared" ref="J83:K83" si="7">SUM(C8:C36)</f>
        <v>55964294.960000001</v>
      </c>
      <c r="K83" s="382">
        <f t="shared" si="7"/>
        <v>51121788.899999999</v>
      </c>
    </row>
    <row r="84" spans="1:11" s="160" customFormat="1" ht="15.75" thickTop="1" x14ac:dyDescent="0.2">
      <c r="A84" s="108" t="s">
        <v>7</v>
      </c>
      <c r="B84" s="109">
        <f>SUM(B85:B85)</f>
        <v>0</v>
      </c>
      <c r="C84" s="157">
        <f>SUM(C85:C85)</f>
        <v>3098550</v>
      </c>
      <c r="D84" s="109">
        <f>SUM(D85:D85)</f>
        <v>3098300</v>
      </c>
      <c r="E84" s="158">
        <f>D84/C84*100</f>
        <v>99.991931709993381</v>
      </c>
      <c r="F84" s="159" t="s">
        <v>2</v>
      </c>
      <c r="G84" s="188"/>
      <c r="H84" s="330" t="s">
        <v>96</v>
      </c>
      <c r="I84" s="383">
        <f>SUM(B37:B72)</f>
        <v>0</v>
      </c>
      <c r="J84" s="383">
        <f t="shared" ref="J84:K84" si="8">SUM(C37:C72)</f>
        <v>4021900</v>
      </c>
      <c r="K84" s="383">
        <f t="shared" si="8"/>
        <v>2334284</v>
      </c>
    </row>
    <row r="85" spans="1:11" s="160" customFormat="1" ht="13.5" thickBot="1" x14ac:dyDescent="0.25">
      <c r="A85" s="418" t="s">
        <v>413</v>
      </c>
      <c r="B85" s="419">
        <v>0</v>
      </c>
      <c r="C85" s="423">
        <f>2902200+196350</f>
        <v>3098550</v>
      </c>
      <c r="D85" s="419">
        <f>2902200+196100</f>
        <v>3098300</v>
      </c>
      <c r="E85" s="420">
        <f>D85/C85*100</f>
        <v>99.991931709993381</v>
      </c>
      <c r="F85" s="313"/>
      <c r="G85" s="389" t="s">
        <v>415</v>
      </c>
      <c r="H85" s="349" t="s">
        <v>371</v>
      </c>
      <c r="I85" s="384">
        <f>B76</f>
        <v>0</v>
      </c>
      <c r="J85" s="384">
        <f t="shared" ref="J85:K85" si="9">C76</f>
        <v>1502026</v>
      </c>
      <c r="K85" s="384">
        <f t="shared" si="9"/>
        <v>1502026</v>
      </c>
    </row>
    <row r="86" spans="1:11" s="160" customFormat="1" ht="15.75" thickTop="1" x14ac:dyDescent="0.25">
      <c r="A86" s="308"/>
      <c r="B86" s="116"/>
      <c r="C86" s="116"/>
      <c r="D86" s="310"/>
      <c r="E86" s="117"/>
      <c r="F86" s="313"/>
      <c r="G86" s="188"/>
      <c r="H86" s="23"/>
      <c r="I86" s="381">
        <f>SUM(I81:I85)</f>
        <v>49469000</v>
      </c>
      <c r="J86" s="381">
        <f t="shared" ref="J86:K86" si="10">SUM(J81:J85)</f>
        <v>64586770.960000001</v>
      </c>
      <c r="K86" s="381">
        <f t="shared" si="10"/>
        <v>58056398.899999999</v>
      </c>
    </row>
    <row r="87" spans="1:11" s="57" customFormat="1" ht="18.75" thickBot="1" x14ac:dyDescent="0.3">
      <c r="A87" s="127" t="s">
        <v>33</v>
      </c>
      <c r="B87" s="128">
        <f>SUM(B76,B7,B84)</f>
        <v>49469000</v>
      </c>
      <c r="C87" s="128">
        <f t="shared" ref="C87:D87" si="11">SUM(C76,C7,C84)</f>
        <v>64586770.960000001</v>
      </c>
      <c r="D87" s="128">
        <f t="shared" si="11"/>
        <v>58056398.899999999</v>
      </c>
      <c r="E87" s="129">
        <f>D87/C87*100</f>
        <v>89.888994351421587</v>
      </c>
      <c r="F87" s="205"/>
      <c r="G87" s="130"/>
      <c r="H87" s="130"/>
    </row>
    <row r="88" spans="1:11" ht="13.5" thickTop="1" x14ac:dyDescent="0.2">
      <c r="A88" s="126"/>
      <c r="B88" s="116"/>
      <c r="C88" s="120"/>
      <c r="D88" s="114"/>
      <c r="E88" s="117"/>
      <c r="F88" s="99"/>
    </row>
    <row r="89" spans="1:11" x14ac:dyDescent="0.2">
      <c r="A89" s="126"/>
      <c r="B89" s="116"/>
      <c r="C89" s="120"/>
      <c r="D89" s="114"/>
      <c r="E89" s="117"/>
      <c r="F89" s="99"/>
    </row>
    <row r="90" spans="1:11" ht="18" x14ac:dyDescent="0.25">
      <c r="A90" s="98" t="s">
        <v>60</v>
      </c>
    </row>
    <row r="91" spans="1:11" ht="15" customHeight="1" thickBot="1" x14ac:dyDescent="0.3">
      <c r="A91" s="101" t="s">
        <v>31</v>
      </c>
      <c r="E91" s="102" t="s">
        <v>18</v>
      </c>
    </row>
    <row r="92" spans="1:11" ht="14.25" thickTop="1" thickBot="1" x14ac:dyDescent="0.25">
      <c r="A92" s="103" t="s">
        <v>5</v>
      </c>
      <c r="B92" s="104" t="s">
        <v>0</v>
      </c>
      <c r="C92" s="105" t="s">
        <v>1</v>
      </c>
      <c r="D92" s="106" t="s">
        <v>4</v>
      </c>
      <c r="E92" s="107" t="s">
        <v>6</v>
      </c>
    </row>
    <row r="93" spans="1:11" ht="15.75" thickTop="1" x14ac:dyDescent="0.25">
      <c r="A93" s="108" t="s">
        <v>9</v>
      </c>
      <c r="B93" s="109">
        <f>SUM(B94:B124)</f>
        <v>38329000</v>
      </c>
      <c r="C93" s="109">
        <f t="shared" ref="C93:D93" si="12">SUM(C94:C124)</f>
        <v>31292886.41</v>
      </c>
      <c r="D93" s="109">
        <f t="shared" si="12"/>
        <v>25577609.760000002</v>
      </c>
      <c r="E93" s="110">
        <f>D93/C93*100</f>
        <v>81.73617935041743</v>
      </c>
      <c r="F93" s="167"/>
    </row>
    <row r="94" spans="1:11" s="97" customFormat="1" x14ac:dyDescent="0.2">
      <c r="A94" s="115" t="s">
        <v>351</v>
      </c>
      <c r="B94" s="138">
        <v>2526000</v>
      </c>
      <c r="C94" s="445">
        <v>1831226.4</v>
      </c>
      <c r="D94" s="446">
        <v>1831226.4</v>
      </c>
      <c r="E94" s="111">
        <f>D94/C94*100</f>
        <v>100</v>
      </c>
      <c r="F94" s="343" t="s">
        <v>82</v>
      </c>
      <c r="G94" s="331" t="s">
        <v>102</v>
      </c>
      <c r="H94" s="92"/>
    </row>
    <row r="95" spans="1:11" s="97" customFormat="1" x14ac:dyDescent="0.2">
      <c r="A95" s="115" t="s">
        <v>417</v>
      </c>
      <c r="B95" s="138">
        <v>17417000</v>
      </c>
      <c r="C95" s="445">
        <v>12915205.6</v>
      </c>
      <c r="D95" s="446">
        <v>12761198.57</v>
      </c>
      <c r="E95" s="111">
        <v>0</v>
      </c>
      <c r="F95" s="177" t="s">
        <v>64</v>
      </c>
      <c r="G95" s="331" t="s">
        <v>102</v>
      </c>
      <c r="H95" s="92"/>
    </row>
    <row r="96" spans="1:11" s="97" customFormat="1" x14ac:dyDescent="0.2">
      <c r="A96" s="447" t="s">
        <v>423</v>
      </c>
      <c r="B96" s="138">
        <v>0</v>
      </c>
      <c r="C96" s="445">
        <v>300</v>
      </c>
      <c r="D96" s="446">
        <v>300</v>
      </c>
      <c r="E96" s="111">
        <v>0</v>
      </c>
      <c r="F96" s="344" t="s">
        <v>418</v>
      </c>
      <c r="G96" s="331" t="s">
        <v>102</v>
      </c>
      <c r="H96" s="92"/>
    </row>
    <row r="97" spans="1:8" s="97" customFormat="1" x14ac:dyDescent="0.2">
      <c r="A97" s="447" t="s">
        <v>424</v>
      </c>
      <c r="B97" s="138">
        <v>1598000</v>
      </c>
      <c r="C97" s="445">
        <v>1249568</v>
      </c>
      <c r="D97" s="446">
        <v>1249568</v>
      </c>
      <c r="E97" s="111">
        <v>0</v>
      </c>
      <c r="F97" s="344" t="s">
        <v>419</v>
      </c>
      <c r="G97" s="331" t="s">
        <v>102</v>
      </c>
      <c r="H97" s="92"/>
    </row>
    <row r="98" spans="1:8" s="97" customFormat="1" x14ac:dyDescent="0.2">
      <c r="A98" s="448" t="s">
        <v>350</v>
      </c>
      <c r="B98" s="138">
        <v>255000</v>
      </c>
      <c r="C98" s="445">
        <v>59366.17</v>
      </c>
      <c r="D98" s="446">
        <v>59366.17</v>
      </c>
      <c r="E98" s="111">
        <f t="shared" ref="E98:E99" si="13">D98/C98*100</f>
        <v>100</v>
      </c>
      <c r="F98" s="177" t="s">
        <v>65</v>
      </c>
      <c r="G98" s="331" t="s">
        <v>102</v>
      </c>
      <c r="H98" s="92"/>
    </row>
    <row r="99" spans="1:8" s="171" customFormat="1" ht="25.5" x14ac:dyDescent="0.2">
      <c r="A99" s="432" t="s">
        <v>422</v>
      </c>
      <c r="B99" s="138">
        <v>0</v>
      </c>
      <c r="C99" s="445">
        <v>66000</v>
      </c>
      <c r="D99" s="446">
        <v>66000</v>
      </c>
      <c r="E99" s="111">
        <f t="shared" si="13"/>
        <v>100</v>
      </c>
      <c r="F99" s="178" t="s">
        <v>66</v>
      </c>
      <c r="G99" s="331" t="s">
        <v>102</v>
      </c>
      <c r="H99" s="170"/>
    </row>
    <row r="100" spans="1:8" s="97" customFormat="1" x14ac:dyDescent="0.2">
      <c r="A100" s="449" t="s">
        <v>421</v>
      </c>
      <c r="B100" s="138">
        <v>588000</v>
      </c>
      <c r="C100" s="445">
        <v>0</v>
      </c>
      <c r="D100" s="446">
        <v>0</v>
      </c>
      <c r="E100" s="111">
        <v>0</v>
      </c>
      <c r="F100" s="177" t="s">
        <v>67</v>
      </c>
      <c r="G100" s="331" t="s">
        <v>102</v>
      </c>
      <c r="H100" s="92"/>
    </row>
    <row r="101" spans="1:8" s="97" customFormat="1" x14ac:dyDescent="0.2">
      <c r="A101" s="448" t="s">
        <v>347</v>
      </c>
      <c r="B101" s="138">
        <v>833000</v>
      </c>
      <c r="C101" s="445">
        <v>641600</v>
      </c>
      <c r="D101" s="446">
        <v>601030</v>
      </c>
      <c r="E101" s="111">
        <f t="shared" ref="E101:E124" si="14">D101/C101*100</f>
        <v>93.676745635910223</v>
      </c>
      <c r="F101" s="177" t="s">
        <v>68</v>
      </c>
      <c r="G101" s="331" t="s">
        <v>102</v>
      </c>
      <c r="H101" s="92"/>
    </row>
    <row r="102" spans="1:8" s="97" customFormat="1" x14ac:dyDescent="0.2">
      <c r="A102" s="74" t="s">
        <v>420</v>
      </c>
      <c r="B102" s="138">
        <v>519000</v>
      </c>
      <c r="C102" s="445">
        <v>668405</v>
      </c>
      <c r="D102" s="446">
        <v>668405</v>
      </c>
      <c r="E102" s="111">
        <f t="shared" si="14"/>
        <v>100</v>
      </c>
      <c r="F102" s="177" t="s">
        <v>81</v>
      </c>
      <c r="G102" s="331" t="s">
        <v>102</v>
      </c>
      <c r="H102" s="92"/>
    </row>
    <row r="103" spans="1:8" s="80" customFormat="1" ht="25.5" customHeight="1" x14ac:dyDescent="0.2">
      <c r="A103" s="450" t="s">
        <v>430</v>
      </c>
      <c r="B103" s="138">
        <v>2713000</v>
      </c>
      <c r="C103" s="445">
        <f>1843296+1111964.64+542084.6</f>
        <v>3497345.2399999998</v>
      </c>
      <c r="D103" s="446">
        <v>2790696.62</v>
      </c>
      <c r="E103" s="111">
        <f t="shared" si="14"/>
        <v>79.794713661154034</v>
      </c>
      <c r="F103" s="177" t="s">
        <v>91</v>
      </c>
      <c r="G103" s="395" t="s">
        <v>94</v>
      </c>
      <c r="H103" s="100"/>
    </row>
    <row r="104" spans="1:8" s="80" customFormat="1" x14ac:dyDescent="0.2">
      <c r="A104" s="74" t="s">
        <v>429</v>
      </c>
      <c r="B104" s="138">
        <v>5000000</v>
      </c>
      <c r="C104" s="445">
        <v>0</v>
      </c>
      <c r="D104" s="446">
        <v>0</v>
      </c>
      <c r="E104" s="111">
        <v>0</v>
      </c>
      <c r="F104" s="177" t="s">
        <v>92</v>
      </c>
      <c r="G104" s="395" t="s">
        <v>94</v>
      </c>
      <c r="H104" s="100"/>
    </row>
    <row r="105" spans="1:8" s="80" customFormat="1" x14ac:dyDescent="0.2">
      <c r="A105" s="74" t="s">
        <v>428</v>
      </c>
      <c r="B105" s="138">
        <v>3049000</v>
      </c>
      <c r="C105" s="445">
        <v>0</v>
      </c>
      <c r="D105" s="446">
        <v>0</v>
      </c>
      <c r="E105" s="111">
        <v>0</v>
      </c>
      <c r="F105" s="177" t="s">
        <v>93</v>
      </c>
      <c r="G105" s="395" t="s">
        <v>94</v>
      </c>
      <c r="H105" s="100"/>
    </row>
    <row r="106" spans="1:8" s="80" customFormat="1" x14ac:dyDescent="0.2">
      <c r="A106" s="74" t="s">
        <v>634</v>
      </c>
      <c r="B106" s="138">
        <v>0</v>
      </c>
      <c r="C106" s="445">
        <v>2476224</v>
      </c>
      <c r="D106" s="446">
        <v>0</v>
      </c>
      <c r="E106" s="111">
        <f t="shared" si="14"/>
        <v>0</v>
      </c>
      <c r="F106" s="177" t="s">
        <v>99</v>
      </c>
      <c r="G106" s="395" t="s">
        <v>94</v>
      </c>
      <c r="H106" s="100"/>
    </row>
    <row r="107" spans="1:8" s="80" customFormat="1" x14ac:dyDescent="0.2">
      <c r="A107" s="74" t="s">
        <v>427</v>
      </c>
      <c r="B107" s="138">
        <v>3731000</v>
      </c>
      <c r="C107" s="445">
        <v>0</v>
      </c>
      <c r="D107" s="446">
        <v>0</v>
      </c>
      <c r="E107" s="111">
        <v>0</v>
      </c>
      <c r="F107" s="177" t="s">
        <v>95</v>
      </c>
      <c r="G107" s="395" t="s">
        <v>94</v>
      </c>
      <c r="H107" s="100"/>
    </row>
    <row r="108" spans="1:8" s="97" customFormat="1" x14ac:dyDescent="0.2">
      <c r="A108" s="448" t="s">
        <v>426</v>
      </c>
      <c r="B108" s="138">
        <v>0</v>
      </c>
      <c r="C108" s="445">
        <v>420000</v>
      </c>
      <c r="D108" s="446">
        <v>0</v>
      </c>
      <c r="E108" s="111">
        <f t="shared" si="14"/>
        <v>0</v>
      </c>
      <c r="F108" s="344" t="s">
        <v>425</v>
      </c>
      <c r="G108" s="395" t="s">
        <v>94</v>
      </c>
      <c r="H108" s="92"/>
    </row>
    <row r="109" spans="1:8" s="97" customFormat="1" x14ac:dyDescent="0.2">
      <c r="A109" s="448" t="s">
        <v>563</v>
      </c>
      <c r="B109" s="138">
        <v>0</v>
      </c>
      <c r="C109" s="445">
        <v>250000</v>
      </c>
      <c r="D109" s="446">
        <v>139520</v>
      </c>
      <c r="E109" s="111">
        <f t="shared" si="14"/>
        <v>55.808</v>
      </c>
      <c r="F109" s="344" t="s">
        <v>562</v>
      </c>
      <c r="G109" s="393" t="s">
        <v>96</v>
      </c>
      <c r="H109" s="92"/>
    </row>
    <row r="110" spans="1:8" s="80" customFormat="1" x14ac:dyDescent="0.2">
      <c r="A110" s="74" t="s">
        <v>429</v>
      </c>
      <c r="B110" s="138">
        <v>0</v>
      </c>
      <c r="C110" s="445">
        <v>353748</v>
      </c>
      <c r="D110" s="446">
        <v>353748</v>
      </c>
      <c r="E110" s="111">
        <f t="shared" si="14"/>
        <v>100</v>
      </c>
      <c r="F110" s="177" t="s">
        <v>92</v>
      </c>
      <c r="G110" s="393" t="s">
        <v>96</v>
      </c>
      <c r="H110" s="100"/>
    </row>
    <row r="111" spans="1:8" s="80" customFormat="1" ht="25.5" x14ac:dyDescent="0.2">
      <c r="A111" s="450" t="s">
        <v>439</v>
      </c>
      <c r="B111" s="138">
        <v>0</v>
      </c>
      <c r="C111" s="445">
        <v>50000</v>
      </c>
      <c r="D111" s="446">
        <v>23756</v>
      </c>
      <c r="E111" s="111">
        <f t="shared" si="14"/>
        <v>47.512</v>
      </c>
      <c r="F111" s="178" t="s">
        <v>97</v>
      </c>
      <c r="G111" s="394" t="s">
        <v>96</v>
      </c>
      <c r="H111" s="100"/>
    </row>
    <row r="112" spans="1:8" s="80" customFormat="1" x14ac:dyDescent="0.2">
      <c r="A112" s="74" t="s">
        <v>564</v>
      </c>
      <c r="B112" s="138">
        <v>0</v>
      </c>
      <c r="C112" s="445">
        <v>350000</v>
      </c>
      <c r="D112" s="446">
        <v>0</v>
      </c>
      <c r="E112" s="111">
        <f t="shared" si="14"/>
        <v>0</v>
      </c>
      <c r="F112" s="177" t="s">
        <v>98</v>
      </c>
      <c r="G112" s="393" t="s">
        <v>96</v>
      </c>
      <c r="H112" s="100"/>
    </row>
    <row r="113" spans="1:8" s="80" customFormat="1" x14ac:dyDescent="0.2">
      <c r="A113" s="74" t="s">
        <v>423</v>
      </c>
      <c r="B113" s="138">
        <v>0</v>
      </c>
      <c r="C113" s="445">
        <v>150000</v>
      </c>
      <c r="D113" s="446">
        <v>54000</v>
      </c>
      <c r="E113" s="111">
        <f t="shared" si="14"/>
        <v>36</v>
      </c>
      <c r="F113" s="344" t="s">
        <v>418</v>
      </c>
      <c r="G113" s="393" t="s">
        <v>96</v>
      </c>
      <c r="H113" s="100"/>
    </row>
    <row r="114" spans="1:8" s="80" customFormat="1" x14ac:dyDescent="0.2">
      <c r="A114" s="74" t="s">
        <v>634</v>
      </c>
      <c r="B114" s="138">
        <v>0</v>
      </c>
      <c r="C114" s="445">
        <v>4563858</v>
      </c>
      <c r="D114" s="446">
        <v>4525367</v>
      </c>
      <c r="E114" s="111">
        <f t="shared" si="14"/>
        <v>99.156612672874573</v>
      </c>
      <c r="F114" s="177" t="s">
        <v>99</v>
      </c>
      <c r="G114" s="393" t="s">
        <v>96</v>
      </c>
      <c r="H114" s="100"/>
    </row>
    <row r="115" spans="1:8" s="80" customFormat="1" ht="25.5" x14ac:dyDescent="0.2">
      <c r="A115" s="450" t="s">
        <v>440</v>
      </c>
      <c r="B115" s="138">
        <v>0</v>
      </c>
      <c r="C115" s="445">
        <v>219040</v>
      </c>
      <c r="D115" s="446">
        <v>19040</v>
      </c>
      <c r="E115" s="111">
        <f t="shared" si="14"/>
        <v>8.6924762600438275</v>
      </c>
      <c r="F115" s="178" t="s">
        <v>100</v>
      </c>
      <c r="G115" s="394" t="s">
        <v>96</v>
      </c>
      <c r="H115" s="100"/>
    </row>
    <row r="116" spans="1:8" s="97" customFormat="1" x14ac:dyDescent="0.2">
      <c r="A116" s="449" t="s">
        <v>442</v>
      </c>
      <c r="B116" s="138">
        <v>0</v>
      </c>
      <c r="C116" s="445">
        <v>269600</v>
      </c>
      <c r="D116" s="446">
        <v>69600</v>
      </c>
      <c r="E116" s="111">
        <f t="shared" si="14"/>
        <v>25.816023738872403</v>
      </c>
      <c r="F116" s="344" t="s">
        <v>431</v>
      </c>
      <c r="G116" s="393" t="s">
        <v>96</v>
      </c>
      <c r="H116" s="92"/>
    </row>
    <row r="117" spans="1:8" s="97" customFormat="1" x14ac:dyDescent="0.2">
      <c r="A117" s="182" t="s">
        <v>443</v>
      </c>
      <c r="B117" s="422">
        <v>0</v>
      </c>
      <c r="C117" s="445">
        <v>230000</v>
      </c>
      <c r="D117" s="446">
        <v>30000</v>
      </c>
      <c r="E117" s="111">
        <f t="shared" si="14"/>
        <v>13.043478260869565</v>
      </c>
      <c r="F117" s="344" t="s">
        <v>432</v>
      </c>
      <c r="G117" s="393" t="s">
        <v>96</v>
      </c>
      <c r="H117" s="92"/>
    </row>
    <row r="118" spans="1:8" s="97" customFormat="1" x14ac:dyDescent="0.2">
      <c r="A118" s="448" t="s">
        <v>445</v>
      </c>
      <c r="B118" s="138">
        <v>0</v>
      </c>
      <c r="C118" s="445">
        <v>257600</v>
      </c>
      <c r="D118" s="446">
        <v>57600</v>
      </c>
      <c r="E118" s="111">
        <f t="shared" si="14"/>
        <v>22.36024844720497</v>
      </c>
      <c r="F118" s="344" t="s">
        <v>433</v>
      </c>
      <c r="G118" s="393" t="s">
        <v>96</v>
      </c>
      <c r="H118" s="92"/>
    </row>
    <row r="119" spans="1:8" s="97" customFormat="1" x14ac:dyDescent="0.2">
      <c r="A119" s="74" t="s">
        <v>444</v>
      </c>
      <c r="B119" s="138">
        <v>0</v>
      </c>
      <c r="C119" s="445">
        <v>100000</v>
      </c>
      <c r="D119" s="446">
        <v>89388</v>
      </c>
      <c r="E119" s="111">
        <f t="shared" si="14"/>
        <v>89.388000000000005</v>
      </c>
      <c r="F119" s="344" t="s">
        <v>434</v>
      </c>
      <c r="G119" s="393" t="s">
        <v>96</v>
      </c>
      <c r="H119" s="92"/>
    </row>
    <row r="120" spans="1:8" s="97" customFormat="1" ht="25.5" x14ac:dyDescent="0.2">
      <c r="A120" s="450" t="s">
        <v>446</v>
      </c>
      <c r="B120" s="138">
        <v>0</v>
      </c>
      <c r="C120" s="445">
        <v>232400</v>
      </c>
      <c r="D120" s="446">
        <v>32400</v>
      </c>
      <c r="E120" s="111">
        <f t="shared" si="14"/>
        <v>13.941480206540447</v>
      </c>
      <c r="F120" s="345" t="s">
        <v>435</v>
      </c>
      <c r="G120" s="394" t="s">
        <v>96</v>
      </c>
      <c r="H120" s="92"/>
    </row>
    <row r="121" spans="1:8" s="97" customFormat="1" x14ac:dyDescent="0.2">
      <c r="A121" s="74" t="s">
        <v>447</v>
      </c>
      <c r="B121" s="138">
        <v>100000</v>
      </c>
      <c r="C121" s="445">
        <v>0</v>
      </c>
      <c r="D121" s="446">
        <v>0</v>
      </c>
      <c r="E121" s="111">
        <f>D121/C120*100</f>
        <v>0</v>
      </c>
      <c r="F121" s="345" t="s">
        <v>436</v>
      </c>
      <c r="G121" s="394" t="s">
        <v>96</v>
      </c>
      <c r="H121" s="92"/>
    </row>
    <row r="122" spans="1:8" s="97" customFormat="1" ht="25.5" x14ac:dyDescent="0.2">
      <c r="A122" s="450" t="s">
        <v>441</v>
      </c>
      <c r="B122" s="138">
        <v>0</v>
      </c>
      <c r="C122" s="445">
        <v>71400</v>
      </c>
      <c r="D122" s="446">
        <v>71400</v>
      </c>
      <c r="E122" s="111">
        <f t="shared" si="14"/>
        <v>100</v>
      </c>
      <c r="F122" s="345" t="s">
        <v>101</v>
      </c>
      <c r="G122" s="394" t="s">
        <v>96</v>
      </c>
      <c r="H122" s="92"/>
    </row>
    <row r="123" spans="1:8" s="80" customFormat="1" ht="25.5" x14ac:dyDescent="0.2">
      <c r="A123" s="450" t="s">
        <v>448</v>
      </c>
      <c r="B123" s="138">
        <v>0</v>
      </c>
      <c r="C123" s="445">
        <v>130000</v>
      </c>
      <c r="D123" s="446">
        <v>84000</v>
      </c>
      <c r="E123" s="111">
        <f t="shared" si="14"/>
        <v>64.615384615384613</v>
      </c>
      <c r="F123" s="346" t="s">
        <v>437</v>
      </c>
      <c r="G123" s="394" t="s">
        <v>96</v>
      </c>
      <c r="H123" s="100"/>
    </row>
    <row r="124" spans="1:8" s="80" customFormat="1" ht="13.5" thickBot="1" x14ac:dyDescent="0.25">
      <c r="A124" s="426" t="s">
        <v>449</v>
      </c>
      <c r="B124" s="429">
        <v>0</v>
      </c>
      <c r="C124" s="451">
        <v>240000</v>
      </c>
      <c r="D124" s="452">
        <v>0</v>
      </c>
      <c r="E124" s="420">
        <f t="shared" si="14"/>
        <v>0</v>
      </c>
      <c r="F124" s="345" t="s">
        <v>438</v>
      </c>
      <c r="G124" s="394" t="s">
        <v>96</v>
      </c>
      <c r="H124" s="100"/>
    </row>
    <row r="125" spans="1:8" s="119" customFormat="1" ht="15.75" thickTop="1" x14ac:dyDescent="0.25">
      <c r="A125" s="101"/>
      <c r="B125" s="49"/>
      <c r="C125" s="49"/>
      <c r="D125" s="47"/>
      <c r="E125" s="102"/>
      <c r="F125" s="172"/>
      <c r="G125" s="118"/>
      <c r="H125" s="118"/>
    </row>
    <row r="126" spans="1:8" s="58" customFormat="1" x14ac:dyDescent="0.2">
      <c r="E126" s="117"/>
      <c r="F126" s="165"/>
      <c r="G126" s="121"/>
      <c r="H126" s="121"/>
    </row>
    <row r="127" spans="1:8" ht="15" customHeight="1" thickBot="1" x14ac:dyDescent="0.25">
      <c r="A127" s="122" t="s">
        <v>63</v>
      </c>
      <c r="E127" s="102" t="s">
        <v>18</v>
      </c>
    </row>
    <row r="128" spans="1:8" ht="14.25" thickTop="1" thickBot="1" x14ac:dyDescent="0.25">
      <c r="A128" s="103" t="s">
        <v>5</v>
      </c>
      <c r="B128" s="104" t="s">
        <v>0</v>
      </c>
      <c r="C128" s="105" t="s">
        <v>1</v>
      </c>
      <c r="D128" s="106" t="s">
        <v>4</v>
      </c>
      <c r="E128" s="107" t="s">
        <v>6</v>
      </c>
    </row>
    <row r="129" spans="1:11" ht="15.75" thickTop="1" x14ac:dyDescent="0.2">
      <c r="A129" s="108" t="s">
        <v>9</v>
      </c>
      <c r="B129" s="109">
        <f>SUM(B130:B134)</f>
        <v>0</v>
      </c>
      <c r="C129" s="109">
        <f t="shared" ref="C129:D129" si="15">SUM(C130:C134)</f>
        <v>1272353</v>
      </c>
      <c r="D129" s="109">
        <f t="shared" si="15"/>
        <v>1272353</v>
      </c>
      <c r="E129" s="123">
        <f>D129/C129*100</f>
        <v>100</v>
      </c>
      <c r="F129" s="99"/>
    </row>
    <row r="130" spans="1:11" s="80" customFormat="1" x14ac:dyDescent="0.2">
      <c r="A130" s="444" t="s">
        <v>573</v>
      </c>
      <c r="B130" s="424">
        <v>0</v>
      </c>
      <c r="C130" s="424">
        <v>170000</v>
      </c>
      <c r="D130" s="424">
        <v>170000</v>
      </c>
      <c r="E130" s="111">
        <f>D130/C130*100</f>
        <v>100</v>
      </c>
      <c r="F130" s="168">
        <v>1632</v>
      </c>
      <c r="G130" s="92"/>
      <c r="H130" s="391" t="s">
        <v>416</v>
      </c>
      <c r="I130" s="392">
        <f>SUM(B103:B108)</f>
        <v>14493000</v>
      </c>
      <c r="J130" s="392">
        <f>SUM(C103:C108)</f>
        <v>6393569.2400000002</v>
      </c>
      <c r="K130" s="392">
        <f>SUM(D103:D108)</f>
        <v>2790696.62</v>
      </c>
    </row>
    <row r="131" spans="1:11" s="80" customFormat="1" x14ac:dyDescent="0.2">
      <c r="A131" s="444" t="s">
        <v>573</v>
      </c>
      <c r="B131" s="424">
        <v>0</v>
      </c>
      <c r="C131" s="424">
        <v>400000</v>
      </c>
      <c r="D131" s="424">
        <v>400000</v>
      </c>
      <c r="E131" s="111">
        <f t="shared" ref="E131:E132" si="16">D131/C131*100</f>
        <v>100</v>
      </c>
      <c r="F131" s="168"/>
      <c r="G131" s="92"/>
      <c r="H131" s="389" t="s">
        <v>415</v>
      </c>
      <c r="I131" s="390">
        <v>0</v>
      </c>
      <c r="J131" s="390">
        <v>0</v>
      </c>
      <c r="K131" s="390">
        <v>0</v>
      </c>
    </row>
    <row r="132" spans="1:11" s="80" customFormat="1" x14ac:dyDescent="0.2">
      <c r="A132" s="444" t="s">
        <v>575</v>
      </c>
      <c r="B132" s="424">
        <v>0</v>
      </c>
      <c r="C132" s="424">
        <v>76000</v>
      </c>
      <c r="D132" s="424">
        <v>76000</v>
      </c>
      <c r="E132" s="111">
        <f t="shared" si="16"/>
        <v>100</v>
      </c>
      <c r="F132" s="168">
        <v>1657</v>
      </c>
      <c r="G132" s="100"/>
      <c r="H132" s="331" t="s">
        <v>102</v>
      </c>
      <c r="I132" s="382">
        <f>SUM(B94:B102)</f>
        <v>23736000</v>
      </c>
      <c r="J132" s="382">
        <f>SUM(C94:C102)</f>
        <v>17431671.170000002</v>
      </c>
      <c r="K132" s="382">
        <f>SUM(D94:D102)</f>
        <v>17237094.140000001</v>
      </c>
    </row>
    <row r="133" spans="1:11" s="80" customFormat="1" x14ac:dyDescent="0.2">
      <c r="A133" s="444" t="s">
        <v>500</v>
      </c>
      <c r="B133" s="424">
        <v>0</v>
      </c>
      <c r="C133" s="424">
        <f>130000-24230</f>
        <v>105770</v>
      </c>
      <c r="D133" s="424">
        <f>130000-24230</f>
        <v>105770</v>
      </c>
      <c r="E133" s="111">
        <f t="shared" ref="E133" si="17">D133/C133*100</f>
        <v>100</v>
      </c>
      <c r="F133" s="168">
        <v>1663</v>
      </c>
      <c r="G133" s="100"/>
      <c r="H133" s="330" t="s">
        <v>96</v>
      </c>
      <c r="I133" s="383">
        <f>SUM(B109:B124)</f>
        <v>100000</v>
      </c>
      <c r="J133" s="383">
        <f t="shared" ref="J133:K133" si="18">SUM(C109:C124)</f>
        <v>7467646</v>
      </c>
      <c r="K133" s="383">
        <f t="shared" si="18"/>
        <v>5549819</v>
      </c>
    </row>
    <row r="134" spans="1:11" s="80" customFormat="1" ht="13.5" thickBot="1" x14ac:dyDescent="0.25">
      <c r="A134" s="426" t="s">
        <v>574</v>
      </c>
      <c r="B134" s="427">
        <v>0</v>
      </c>
      <c r="C134" s="427">
        <f>530000-9417</f>
        <v>520583</v>
      </c>
      <c r="D134" s="427">
        <f>530000-9417</f>
        <v>520583</v>
      </c>
      <c r="E134" s="420">
        <v>0</v>
      </c>
      <c r="F134" s="414"/>
      <c r="G134" s="100"/>
      <c r="H134" s="349" t="s">
        <v>371</v>
      </c>
      <c r="I134" s="384">
        <f>B129</f>
        <v>0</v>
      </c>
      <c r="J134" s="384">
        <f t="shared" ref="J134:K134" si="19">C129</f>
        <v>1272353</v>
      </c>
      <c r="K134" s="384">
        <f t="shared" si="19"/>
        <v>1272353</v>
      </c>
    </row>
    <row r="135" spans="1:11" s="58" customFormat="1" ht="15.75" thickTop="1" x14ac:dyDescent="0.25">
      <c r="E135" s="117"/>
      <c r="F135" s="165"/>
      <c r="G135" s="121"/>
      <c r="H135" s="23"/>
      <c r="I135" s="381">
        <f>SUM(I130:I134)</f>
        <v>38329000</v>
      </c>
      <c r="J135" s="381">
        <f t="shared" ref="J135:K135" si="20">SUM(J130:J134)</f>
        <v>32565239.410000004</v>
      </c>
      <c r="K135" s="381">
        <f t="shared" si="20"/>
        <v>26849962.760000002</v>
      </c>
    </row>
    <row r="136" spans="1:11" s="58" customFormat="1" x14ac:dyDescent="0.2">
      <c r="E136" s="117"/>
      <c r="F136" s="165"/>
      <c r="G136" s="121"/>
      <c r="H136" s="121"/>
    </row>
    <row r="137" spans="1:11" s="57" customFormat="1" ht="18.75" thickBot="1" x14ac:dyDescent="0.3">
      <c r="A137" s="127" t="s">
        <v>34</v>
      </c>
      <c r="B137" s="128">
        <f>SUM(B129,B93,)</f>
        <v>38329000</v>
      </c>
      <c r="C137" s="128">
        <f t="shared" ref="C137:D137" si="21">SUM(C129,C93,)</f>
        <v>32565239.41</v>
      </c>
      <c r="D137" s="128">
        <f t="shared" si="21"/>
        <v>26849962.760000002</v>
      </c>
      <c r="E137" s="129">
        <f>D137/C137*100</f>
        <v>82.449763141477234</v>
      </c>
      <c r="F137" s="91"/>
      <c r="G137" s="130"/>
      <c r="H137" s="130"/>
    </row>
    <row r="138" spans="1:11" s="58" customFormat="1" ht="13.5" thickTop="1" x14ac:dyDescent="0.2">
      <c r="E138" s="117"/>
      <c r="F138" s="165"/>
      <c r="G138" s="121"/>
      <c r="H138" s="121"/>
    </row>
    <row r="139" spans="1:11" s="58" customFormat="1" x14ac:dyDescent="0.2">
      <c r="E139" s="117"/>
      <c r="F139" s="165"/>
      <c r="G139" s="121"/>
      <c r="H139" s="121"/>
    </row>
    <row r="140" spans="1:11" s="58" customFormat="1" x14ac:dyDescent="0.2">
      <c r="E140" s="117"/>
      <c r="F140" s="165"/>
      <c r="G140" s="121"/>
      <c r="H140" s="121"/>
    </row>
    <row r="141" spans="1:11" ht="15" customHeight="1" x14ac:dyDescent="0.25">
      <c r="A141" s="98" t="s">
        <v>62</v>
      </c>
    </row>
    <row r="142" spans="1:11" ht="15" customHeight="1" thickBot="1" x14ac:dyDescent="0.3">
      <c r="A142" s="101" t="s">
        <v>31</v>
      </c>
      <c r="E142" s="102" t="s">
        <v>18</v>
      </c>
    </row>
    <row r="143" spans="1:11" ht="14.25" thickTop="1" thickBot="1" x14ac:dyDescent="0.25">
      <c r="A143" s="103" t="s">
        <v>5</v>
      </c>
      <c r="B143" s="104" t="s">
        <v>0</v>
      </c>
      <c r="C143" s="105" t="s">
        <v>1</v>
      </c>
      <c r="D143" s="106" t="s">
        <v>4</v>
      </c>
      <c r="E143" s="107" t="s">
        <v>6</v>
      </c>
    </row>
    <row r="144" spans="1:11" ht="15.75" thickTop="1" x14ac:dyDescent="0.25">
      <c r="A144" s="108" t="s">
        <v>11</v>
      </c>
      <c r="B144" s="133">
        <f>SUM(B145:B168)</f>
        <v>51247000</v>
      </c>
      <c r="C144" s="133">
        <f>SUM(C145:C168)</f>
        <v>40910476.060000002</v>
      </c>
      <c r="D144" s="133">
        <f>SUM(D145:D168)</f>
        <v>36451201.240000002</v>
      </c>
      <c r="E144" s="110">
        <f t="shared" ref="E144:E151" si="22">D144/C144*100</f>
        <v>89.099919508489819</v>
      </c>
      <c r="F144" s="99"/>
      <c r="H144" s="194"/>
    </row>
    <row r="145" spans="1:8" s="97" customFormat="1" x14ac:dyDescent="0.2">
      <c r="A145" s="74" t="s">
        <v>450</v>
      </c>
      <c r="B145" s="437">
        <v>24000</v>
      </c>
      <c r="C145" s="134">
        <v>24000</v>
      </c>
      <c r="D145" s="431">
        <v>24000</v>
      </c>
      <c r="E145" s="111">
        <f t="shared" si="22"/>
        <v>100</v>
      </c>
      <c r="F145" s="168">
        <v>100027</v>
      </c>
      <c r="G145" s="331" t="s">
        <v>102</v>
      </c>
      <c r="H145" s="92"/>
    </row>
    <row r="146" spans="1:8" s="97" customFormat="1" x14ac:dyDescent="0.2">
      <c r="A146" s="74" t="s">
        <v>625</v>
      </c>
      <c r="B146" s="437">
        <v>100000</v>
      </c>
      <c r="C146" s="134">
        <v>5000</v>
      </c>
      <c r="D146" s="431">
        <v>0</v>
      </c>
      <c r="E146" s="111">
        <f t="shared" si="22"/>
        <v>0</v>
      </c>
      <c r="F146" s="168">
        <v>100029</v>
      </c>
      <c r="G146" s="331" t="s">
        <v>102</v>
      </c>
      <c r="H146" s="93"/>
    </row>
    <row r="147" spans="1:8" s="97" customFormat="1" x14ac:dyDescent="0.2">
      <c r="A147" s="74" t="s">
        <v>626</v>
      </c>
      <c r="B147" s="437">
        <v>1500000</v>
      </c>
      <c r="C147" s="134">
        <v>225700</v>
      </c>
      <c r="D147" s="431">
        <v>205690</v>
      </c>
      <c r="E147" s="111">
        <f t="shared" si="22"/>
        <v>91.134249003101459</v>
      </c>
      <c r="F147" s="168">
        <v>100032</v>
      </c>
      <c r="G147" s="331" t="s">
        <v>102</v>
      </c>
      <c r="H147" s="92"/>
    </row>
    <row r="148" spans="1:8" s="97" customFormat="1" x14ac:dyDescent="0.2">
      <c r="A148" s="74" t="s">
        <v>451</v>
      </c>
      <c r="B148" s="437">
        <v>188000</v>
      </c>
      <c r="C148" s="134">
        <v>412000</v>
      </c>
      <c r="D148" s="431">
        <v>190740</v>
      </c>
      <c r="E148" s="111">
        <f t="shared" si="22"/>
        <v>46.296116504854368</v>
      </c>
      <c r="F148" s="168">
        <v>100033</v>
      </c>
      <c r="G148" s="331" t="s">
        <v>102</v>
      </c>
      <c r="H148" s="92"/>
    </row>
    <row r="149" spans="1:8" s="97" customFormat="1" x14ac:dyDescent="0.2">
      <c r="A149" s="74" t="s">
        <v>627</v>
      </c>
      <c r="B149" s="437">
        <v>30000</v>
      </c>
      <c r="C149" s="134">
        <v>51000</v>
      </c>
      <c r="D149" s="431">
        <v>39000</v>
      </c>
      <c r="E149" s="111">
        <f t="shared" si="22"/>
        <v>76.470588235294116</v>
      </c>
      <c r="F149" s="168">
        <v>100060</v>
      </c>
      <c r="G149" s="331" t="s">
        <v>102</v>
      </c>
      <c r="H149" s="92"/>
    </row>
    <row r="150" spans="1:8" s="97" customFormat="1" x14ac:dyDescent="0.2">
      <c r="A150" s="74" t="s">
        <v>628</v>
      </c>
      <c r="B150" s="437">
        <v>30500000</v>
      </c>
      <c r="C150" s="134">
        <v>30500000</v>
      </c>
      <c r="D150" s="431">
        <v>30434442.210000001</v>
      </c>
      <c r="E150" s="111">
        <f t="shared" si="22"/>
        <v>99.785056426229517</v>
      </c>
      <c r="F150" s="168">
        <v>100061</v>
      </c>
      <c r="G150" s="331" t="s">
        <v>102</v>
      </c>
      <c r="H150" s="92"/>
    </row>
    <row r="151" spans="1:8" s="97" customFormat="1" x14ac:dyDescent="0.2">
      <c r="A151" s="443" t="s">
        <v>452</v>
      </c>
      <c r="B151" s="437">
        <v>366000</v>
      </c>
      <c r="C151" s="134">
        <v>991912</v>
      </c>
      <c r="D151" s="431">
        <v>365911</v>
      </c>
      <c r="E151" s="111">
        <f t="shared" si="22"/>
        <v>36.889461968400425</v>
      </c>
      <c r="F151" s="168">
        <v>100106</v>
      </c>
      <c r="G151" s="331" t="s">
        <v>102</v>
      </c>
      <c r="H151" s="92"/>
    </row>
    <row r="152" spans="1:8" s="97" customFormat="1" x14ac:dyDescent="0.2">
      <c r="A152" s="115" t="s">
        <v>453</v>
      </c>
      <c r="B152" s="437">
        <v>4000000</v>
      </c>
      <c r="C152" s="437">
        <v>444900</v>
      </c>
      <c r="D152" s="425">
        <v>0</v>
      </c>
      <c r="E152" s="111">
        <f t="shared" ref="E152:E168" si="23">D152/C152*100</f>
        <v>0</v>
      </c>
      <c r="F152" s="164">
        <v>100130</v>
      </c>
      <c r="G152" s="331" t="s">
        <v>102</v>
      </c>
      <c r="H152" s="92"/>
    </row>
    <row r="153" spans="1:8" s="97" customFormat="1" x14ac:dyDescent="0.2">
      <c r="A153" s="115" t="s">
        <v>270</v>
      </c>
      <c r="B153" s="437">
        <v>833000</v>
      </c>
      <c r="C153" s="437">
        <v>833000</v>
      </c>
      <c r="D153" s="425">
        <v>28056</v>
      </c>
      <c r="E153" s="111">
        <f t="shared" si="23"/>
        <v>3.3680672268907563</v>
      </c>
      <c r="F153" s="164">
        <v>100289</v>
      </c>
      <c r="G153" s="331" t="s">
        <v>102</v>
      </c>
      <c r="H153" s="92"/>
    </row>
    <row r="154" spans="1:8" s="171" customFormat="1" x14ac:dyDescent="0.2">
      <c r="A154" s="115" t="s">
        <v>353</v>
      </c>
      <c r="B154" s="437">
        <v>5708000</v>
      </c>
      <c r="C154" s="437">
        <v>940500</v>
      </c>
      <c r="D154" s="425">
        <v>265362</v>
      </c>
      <c r="E154" s="111">
        <f t="shared" si="23"/>
        <v>28.214992025518342</v>
      </c>
      <c r="F154" s="168">
        <v>100532</v>
      </c>
      <c r="G154" s="331" t="s">
        <v>102</v>
      </c>
      <c r="H154" s="170"/>
    </row>
    <row r="155" spans="1:8" s="97" customFormat="1" x14ac:dyDescent="0.2">
      <c r="A155" s="115" t="s">
        <v>629</v>
      </c>
      <c r="B155" s="437">
        <v>3868000</v>
      </c>
      <c r="C155" s="437">
        <v>687100</v>
      </c>
      <c r="D155" s="425">
        <v>109600</v>
      </c>
      <c r="E155" s="111">
        <f t="shared" si="23"/>
        <v>15.951098821132295</v>
      </c>
      <c r="F155" s="168">
        <v>100534</v>
      </c>
      <c r="G155" s="331" t="s">
        <v>102</v>
      </c>
      <c r="H155" s="92"/>
    </row>
    <row r="156" spans="1:8" s="97" customFormat="1" x14ac:dyDescent="0.2">
      <c r="A156" s="74" t="s">
        <v>607</v>
      </c>
      <c r="B156" s="437">
        <v>0</v>
      </c>
      <c r="C156" s="437">
        <v>131600</v>
      </c>
      <c r="D156" s="437">
        <v>0</v>
      </c>
      <c r="E156" s="111">
        <f t="shared" si="23"/>
        <v>0</v>
      </c>
      <c r="F156" s="168">
        <v>100535</v>
      </c>
      <c r="G156" s="331" t="s">
        <v>102</v>
      </c>
      <c r="H156" s="92"/>
    </row>
    <row r="157" spans="1:8" s="97" customFormat="1" x14ac:dyDescent="0.2">
      <c r="A157" s="74" t="s">
        <v>630</v>
      </c>
      <c r="B157" s="437">
        <v>452000</v>
      </c>
      <c r="C157" s="437">
        <v>1830653</v>
      </c>
      <c r="D157" s="437">
        <v>1825116</v>
      </c>
      <c r="E157" s="111">
        <f t="shared" si="23"/>
        <v>99.697539621107879</v>
      </c>
      <c r="F157" s="168">
        <v>100536</v>
      </c>
      <c r="G157" s="331" t="s">
        <v>102</v>
      </c>
      <c r="H157" s="92"/>
    </row>
    <row r="158" spans="1:8" s="80" customFormat="1" x14ac:dyDescent="0.2">
      <c r="A158" s="74" t="s">
        <v>264</v>
      </c>
      <c r="B158" s="431">
        <v>176000</v>
      </c>
      <c r="C158" s="431">
        <v>186000</v>
      </c>
      <c r="D158" s="431">
        <v>175488</v>
      </c>
      <c r="E158" s="111">
        <f t="shared" si="23"/>
        <v>94.348387096774189</v>
      </c>
      <c r="F158" s="168">
        <v>100645</v>
      </c>
      <c r="G158" s="331" t="s">
        <v>102</v>
      </c>
      <c r="H158" s="100"/>
    </row>
    <row r="159" spans="1:8" s="80" customFormat="1" x14ac:dyDescent="0.2">
      <c r="A159" s="74" t="s">
        <v>266</v>
      </c>
      <c r="B159" s="431">
        <v>2500000</v>
      </c>
      <c r="C159" s="431">
        <v>1557000</v>
      </c>
      <c r="D159" s="431">
        <v>904015.59</v>
      </c>
      <c r="E159" s="111">
        <f t="shared" si="23"/>
        <v>58.061373795761071</v>
      </c>
      <c r="F159" s="168">
        <v>100647</v>
      </c>
      <c r="G159" s="331" t="s">
        <v>102</v>
      </c>
      <c r="H159" s="100"/>
    </row>
    <row r="160" spans="1:8" s="97" customFormat="1" x14ac:dyDescent="0.2">
      <c r="A160" s="74" t="s">
        <v>454</v>
      </c>
      <c r="B160" s="437">
        <v>1002000</v>
      </c>
      <c r="C160" s="437">
        <v>1002000.06</v>
      </c>
      <c r="D160" s="437">
        <v>968139.44</v>
      </c>
      <c r="E160" s="111">
        <f t="shared" si="23"/>
        <v>96.620696809139901</v>
      </c>
      <c r="F160" s="168">
        <v>100697</v>
      </c>
      <c r="G160" s="331" t="s">
        <v>102</v>
      </c>
      <c r="H160" s="92"/>
    </row>
    <row r="161" spans="1:8" s="97" customFormat="1" x14ac:dyDescent="0.2">
      <c r="A161" s="115" t="s">
        <v>455</v>
      </c>
      <c r="B161" s="437">
        <v>0</v>
      </c>
      <c r="C161" s="437">
        <v>48000</v>
      </c>
      <c r="D161" s="425">
        <v>0</v>
      </c>
      <c r="E161" s="111">
        <f t="shared" si="23"/>
        <v>0</v>
      </c>
      <c r="F161" s="164">
        <v>100803</v>
      </c>
      <c r="G161" s="331" t="s">
        <v>102</v>
      </c>
      <c r="H161" s="92"/>
    </row>
    <row r="162" spans="1:8" s="97" customFormat="1" x14ac:dyDescent="0.2">
      <c r="A162" s="115" t="s">
        <v>356</v>
      </c>
      <c r="B162" s="437">
        <v>0</v>
      </c>
      <c r="C162" s="437">
        <v>63000</v>
      </c>
      <c r="D162" s="425">
        <v>63000</v>
      </c>
      <c r="E162" s="111">
        <f t="shared" si="23"/>
        <v>100</v>
      </c>
      <c r="F162" s="168">
        <v>100027</v>
      </c>
      <c r="G162" s="330" t="s">
        <v>96</v>
      </c>
      <c r="H162" s="92"/>
    </row>
    <row r="163" spans="1:8" s="97" customFormat="1" x14ac:dyDescent="0.2">
      <c r="A163" s="115" t="s">
        <v>527</v>
      </c>
      <c r="B163" s="437">
        <v>0</v>
      </c>
      <c r="C163" s="437">
        <v>113520</v>
      </c>
      <c r="D163" s="425">
        <v>113520</v>
      </c>
      <c r="E163" s="111">
        <f t="shared" si="23"/>
        <v>100</v>
      </c>
      <c r="F163" s="168">
        <v>100041</v>
      </c>
      <c r="G163" s="330" t="s">
        <v>96</v>
      </c>
      <c r="H163" s="92"/>
    </row>
    <row r="164" spans="1:8" s="97" customFormat="1" x14ac:dyDescent="0.2">
      <c r="A164" s="443" t="s">
        <v>635</v>
      </c>
      <c r="B164" s="437">
        <v>0</v>
      </c>
      <c r="C164" s="437">
        <v>79680</v>
      </c>
      <c r="D164" s="425">
        <v>36000</v>
      </c>
      <c r="E164" s="111">
        <f t="shared" si="23"/>
        <v>45.180722891566269</v>
      </c>
      <c r="F164" s="168">
        <v>100060</v>
      </c>
      <c r="G164" s="330" t="s">
        <v>96</v>
      </c>
      <c r="H164" s="92"/>
    </row>
    <row r="165" spans="1:8" s="97" customFormat="1" x14ac:dyDescent="0.2">
      <c r="A165" s="115" t="s">
        <v>456</v>
      </c>
      <c r="B165" s="437">
        <v>0</v>
      </c>
      <c r="C165" s="437">
        <v>337891</v>
      </c>
      <c r="D165" s="425">
        <v>337891</v>
      </c>
      <c r="E165" s="111">
        <f t="shared" si="23"/>
        <v>100</v>
      </c>
      <c r="F165" s="168">
        <v>100065</v>
      </c>
      <c r="G165" s="330" t="s">
        <v>96</v>
      </c>
      <c r="H165" s="92"/>
    </row>
    <row r="166" spans="1:8" s="97" customFormat="1" x14ac:dyDescent="0.2">
      <c r="A166" s="115" t="s">
        <v>361</v>
      </c>
      <c r="B166" s="437">
        <v>0</v>
      </c>
      <c r="C166" s="437">
        <v>221520</v>
      </c>
      <c r="D166" s="425">
        <v>178720</v>
      </c>
      <c r="E166" s="111">
        <f t="shared" si="23"/>
        <v>80.678945467677863</v>
      </c>
      <c r="F166" s="168">
        <v>100149</v>
      </c>
      <c r="G166" s="330" t="s">
        <v>96</v>
      </c>
      <c r="H166" s="92"/>
    </row>
    <row r="167" spans="1:8" s="97" customFormat="1" x14ac:dyDescent="0.2">
      <c r="A167" s="115" t="s">
        <v>607</v>
      </c>
      <c r="B167" s="437">
        <v>0</v>
      </c>
      <c r="C167" s="437">
        <v>136000</v>
      </c>
      <c r="D167" s="425">
        <v>98010</v>
      </c>
      <c r="E167" s="111">
        <f t="shared" si="23"/>
        <v>72.066176470588232</v>
      </c>
      <c r="F167" s="168">
        <v>100535</v>
      </c>
      <c r="G167" s="330" t="s">
        <v>96</v>
      </c>
      <c r="H167" s="92"/>
    </row>
    <row r="168" spans="1:8" s="97" customFormat="1" ht="13.5" thickBot="1" x14ac:dyDescent="0.25">
      <c r="A168" s="426" t="s">
        <v>457</v>
      </c>
      <c r="B168" s="440">
        <v>0</v>
      </c>
      <c r="C168" s="434">
        <v>88500</v>
      </c>
      <c r="D168" s="440">
        <v>88500</v>
      </c>
      <c r="E168" s="420">
        <f t="shared" si="23"/>
        <v>100</v>
      </c>
      <c r="F168" s="168">
        <v>100798</v>
      </c>
      <c r="G168" s="330" t="s">
        <v>96</v>
      </c>
      <c r="H168" s="92"/>
    </row>
    <row r="169" spans="1:8" s="113" customFormat="1" ht="13.5" thickTop="1" x14ac:dyDescent="0.2">
      <c r="A169" s="174"/>
      <c r="B169" s="116"/>
      <c r="C169" s="114"/>
      <c r="D169" s="114"/>
      <c r="E169" s="117"/>
      <c r="F169" s="172"/>
      <c r="G169" s="112"/>
      <c r="H169" s="112"/>
    </row>
    <row r="170" spans="1:8" s="113" customFormat="1" x14ac:dyDescent="0.2">
      <c r="A170" s="174"/>
      <c r="B170" s="116"/>
      <c r="C170" s="114"/>
      <c r="D170" s="114"/>
      <c r="E170" s="117"/>
      <c r="F170" s="172"/>
      <c r="G170" s="112"/>
      <c r="H170" s="112"/>
    </row>
    <row r="171" spans="1:8" ht="15" customHeight="1" thickBot="1" x14ac:dyDescent="0.25">
      <c r="A171" s="122" t="s">
        <v>83</v>
      </c>
      <c r="E171" s="102" t="s">
        <v>18</v>
      </c>
    </row>
    <row r="172" spans="1:8" ht="14.25" thickTop="1" thickBot="1" x14ac:dyDescent="0.25">
      <c r="A172" s="103" t="s">
        <v>5</v>
      </c>
      <c r="B172" s="104" t="s">
        <v>0</v>
      </c>
      <c r="C172" s="105" t="s">
        <v>1</v>
      </c>
      <c r="D172" s="106" t="s">
        <v>4</v>
      </c>
      <c r="E172" s="107" t="s">
        <v>6</v>
      </c>
    </row>
    <row r="173" spans="1:8" ht="15.75" thickTop="1" x14ac:dyDescent="0.2">
      <c r="A173" s="108" t="s">
        <v>11</v>
      </c>
      <c r="B173" s="133">
        <f>SUM(B174:B180)</f>
        <v>10134000</v>
      </c>
      <c r="C173" s="133">
        <f>SUM(C174:C180)</f>
        <v>18534000</v>
      </c>
      <c r="D173" s="133">
        <f>SUM(D174:D180)</f>
        <v>18534000</v>
      </c>
      <c r="E173" s="123">
        <f t="shared" ref="E173:E179" si="24">D173/C173*100</f>
        <v>100</v>
      </c>
      <c r="F173" s="99" t="s">
        <v>492</v>
      </c>
      <c r="G173" s="349" t="s">
        <v>371</v>
      </c>
    </row>
    <row r="174" spans="1:8" x14ac:dyDescent="0.2">
      <c r="A174" s="441" t="s">
        <v>459</v>
      </c>
      <c r="B174" s="422">
        <v>2967000</v>
      </c>
      <c r="C174" s="422">
        <v>2967000</v>
      </c>
      <c r="D174" s="422">
        <v>2967000</v>
      </c>
      <c r="E174" s="111">
        <f t="shared" si="24"/>
        <v>100</v>
      </c>
      <c r="F174" s="99" t="s">
        <v>492</v>
      </c>
      <c r="G174" s="349" t="s">
        <v>371</v>
      </c>
    </row>
    <row r="175" spans="1:8" x14ac:dyDescent="0.2">
      <c r="A175" s="441" t="s">
        <v>460</v>
      </c>
      <c r="B175" s="422">
        <v>2500000</v>
      </c>
      <c r="C175" s="422">
        <v>2500000</v>
      </c>
      <c r="D175" s="422">
        <v>2500000</v>
      </c>
      <c r="E175" s="111">
        <f t="shared" si="24"/>
        <v>100</v>
      </c>
      <c r="F175" s="99" t="s">
        <v>492</v>
      </c>
      <c r="G175" s="349" t="s">
        <v>371</v>
      </c>
    </row>
    <row r="176" spans="1:8" x14ac:dyDescent="0.2">
      <c r="A176" s="441" t="s">
        <v>461</v>
      </c>
      <c r="B176" s="422">
        <v>1667000</v>
      </c>
      <c r="C176" s="422">
        <v>1667000</v>
      </c>
      <c r="D176" s="422">
        <v>1667000</v>
      </c>
      <c r="E176" s="111">
        <f t="shared" si="24"/>
        <v>100</v>
      </c>
      <c r="F176" s="99" t="s">
        <v>492</v>
      </c>
      <c r="G176" s="349" t="s">
        <v>371</v>
      </c>
    </row>
    <row r="177" spans="1:12" x14ac:dyDescent="0.2">
      <c r="A177" s="441" t="s">
        <v>462</v>
      </c>
      <c r="B177" s="422">
        <v>167000</v>
      </c>
      <c r="C177" s="422">
        <v>167000</v>
      </c>
      <c r="D177" s="422">
        <v>167000</v>
      </c>
      <c r="E177" s="111">
        <f t="shared" si="24"/>
        <v>100</v>
      </c>
      <c r="F177" s="99" t="s">
        <v>492</v>
      </c>
      <c r="G177" s="349" t="s">
        <v>371</v>
      </c>
    </row>
    <row r="178" spans="1:12" x14ac:dyDescent="0.2">
      <c r="A178" s="441" t="s">
        <v>463</v>
      </c>
      <c r="B178" s="422">
        <v>2833000</v>
      </c>
      <c r="C178" s="424">
        <v>2833000</v>
      </c>
      <c r="D178" s="424">
        <v>2833000</v>
      </c>
      <c r="E178" s="111">
        <f t="shared" si="24"/>
        <v>100</v>
      </c>
      <c r="F178" s="99" t="s">
        <v>492</v>
      </c>
      <c r="G178" s="349" t="s">
        <v>371</v>
      </c>
    </row>
    <row r="179" spans="1:12" x14ac:dyDescent="0.2">
      <c r="A179" s="441" t="s">
        <v>579</v>
      </c>
      <c r="B179" s="422">
        <v>0</v>
      </c>
      <c r="C179" s="424">
        <v>3300000</v>
      </c>
      <c r="D179" s="424">
        <v>3300000</v>
      </c>
      <c r="E179" s="111">
        <f t="shared" si="24"/>
        <v>100</v>
      </c>
      <c r="F179" s="99" t="s">
        <v>492</v>
      </c>
      <c r="G179" s="349" t="s">
        <v>580</v>
      </c>
    </row>
    <row r="180" spans="1:12" s="136" customFormat="1" ht="13.5" thickBot="1" x14ac:dyDescent="0.25">
      <c r="A180" s="442" t="s">
        <v>494</v>
      </c>
      <c r="B180" s="419">
        <v>0</v>
      </c>
      <c r="C180" s="419">
        <v>5100000</v>
      </c>
      <c r="D180" s="419">
        <v>5100000</v>
      </c>
      <c r="E180" s="420">
        <f t="shared" ref="E180" si="25">D180/C180*100</f>
        <v>100</v>
      </c>
      <c r="F180" s="99" t="s">
        <v>493</v>
      </c>
      <c r="G180" s="349" t="s">
        <v>371</v>
      </c>
      <c r="H180" s="112"/>
    </row>
    <row r="181" spans="1:12" s="58" customFormat="1" ht="13.5" thickTop="1" x14ac:dyDescent="0.2">
      <c r="E181" s="117"/>
      <c r="F181" s="165"/>
      <c r="G181" s="121"/>
      <c r="H181" s="121"/>
    </row>
    <row r="182" spans="1:12" ht="15" customHeight="1" thickBot="1" x14ac:dyDescent="0.3">
      <c r="A182" s="101" t="s">
        <v>324</v>
      </c>
      <c r="E182" s="102" t="s">
        <v>18</v>
      </c>
      <c r="F182" s="49"/>
      <c r="G182" s="187"/>
      <c r="H182" s="391" t="s">
        <v>558</v>
      </c>
      <c r="I182" s="392">
        <v>0</v>
      </c>
      <c r="J182" s="392">
        <v>0</v>
      </c>
      <c r="K182" s="392">
        <v>0</v>
      </c>
      <c r="L182" s="80"/>
    </row>
    <row r="183" spans="1:12" ht="18" customHeight="1" thickTop="1" thickBot="1" x14ac:dyDescent="0.25">
      <c r="A183" s="103" t="s">
        <v>5</v>
      </c>
      <c r="B183" s="104" t="s">
        <v>0</v>
      </c>
      <c r="C183" s="105" t="s">
        <v>1</v>
      </c>
      <c r="D183" s="106" t="s">
        <v>4</v>
      </c>
      <c r="E183" s="107" t="s">
        <v>6</v>
      </c>
      <c r="F183" s="49"/>
      <c r="G183" s="187"/>
      <c r="H183" s="389" t="s">
        <v>415</v>
      </c>
      <c r="I183" s="390">
        <f>SUM(B184)</f>
        <v>0</v>
      </c>
      <c r="J183" s="390">
        <f t="shared" ref="J183:K183" si="26">SUM(C184)</f>
        <v>784930</v>
      </c>
      <c r="K183" s="390">
        <f t="shared" si="26"/>
        <v>380539</v>
      </c>
      <c r="L183" s="80"/>
    </row>
    <row r="184" spans="1:12" s="160" customFormat="1" ht="15.75" thickTop="1" x14ac:dyDescent="0.2">
      <c r="A184" s="108" t="s">
        <v>11</v>
      </c>
      <c r="B184" s="109">
        <f>SUM(B185:B186)</f>
        <v>0</v>
      </c>
      <c r="C184" s="109">
        <f>SUM(C185:C186)</f>
        <v>784930</v>
      </c>
      <c r="D184" s="109">
        <f>SUM(D185:D186)</f>
        <v>380539</v>
      </c>
      <c r="E184" s="158">
        <f>D184/C184*100</f>
        <v>48.480628845884347</v>
      </c>
      <c r="F184" s="159" t="s">
        <v>2</v>
      </c>
      <c r="G184" s="188"/>
      <c r="H184" s="331" t="s">
        <v>102</v>
      </c>
      <c r="I184" s="382">
        <f>SUM(B145:B161)</f>
        <v>51247000</v>
      </c>
      <c r="J184" s="382">
        <f>SUM(C145:C161)</f>
        <v>39870365.060000002</v>
      </c>
      <c r="K184" s="382">
        <f>SUM(D145:D161)</f>
        <v>35535560.240000002</v>
      </c>
      <c r="L184" s="80"/>
    </row>
    <row r="185" spans="1:12" s="160" customFormat="1" x14ac:dyDescent="0.2">
      <c r="A185" s="416" t="s">
        <v>453</v>
      </c>
      <c r="B185" s="422">
        <v>0</v>
      </c>
      <c r="C185" s="424">
        <v>760000</v>
      </c>
      <c r="D185" s="424">
        <v>355609</v>
      </c>
      <c r="E185" s="111">
        <f>D185/C185*100</f>
        <v>46.790657894736839</v>
      </c>
      <c r="F185" s="347">
        <v>100130</v>
      </c>
      <c r="G185" s="188"/>
      <c r="H185" s="330" t="s">
        <v>96</v>
      </c>
      <c r="I185" s="383">
        <f>SUM(B162:B168)</f>
        <v>0</v>
      </c>
      <c r="J185" s="383">
        <f>SUM(C162:C168)</f>
        <v>1040111</v>
      </c>
      <c r="K185" s="383">
        <f>SUM(D162:D168)</f>
        <v>915641</v>
      </c>
      <c r="L185" s="80"/>
    </row>
    <row r="186" spans="1:12" s="160" customFormat="1" ht="13.5" thickBot="1" x14ac:dyDescent="0.25">
      <c r="A186" s="418" t="s">
        <v>506</v>
      </c>
      <c r="B186" s="419">
        <v>0</v>
      </c>
      <c r="C186" s="423">
        <v>24930</v>
      </c>
      <c r="D186" s="419">
        <v>24930</v>
      </c>
      <c r="E186" s="420">
        <f>D186/C186*100</f>
        <v>100</v>
      </c>
      <c r="F186" s="313">
        <v>0</v>
      </c>
      <c r="G186" s="389" t="s">
        <v>415</v>
      </c>
      <c r="H186" s="349" t="s">
        <v>371</v>
      </c>
      <c r="I186" s="384">
        <f>SUM(B173)</f>
        <v>10134000</v>
      </c>
      <c r="J186" s="384">
        <f>SUM(C173)</f>
        <v>18534000</v>
      </c>
      <c r="K186" s="384">
        <f>SUM(D173)</f>
        <v>18534000</v>
      </c>
      <c r="L186" s="80"/>
    </row>
    <row r="187" spans="1:12" s="58" customFormat="1" ht="15.75" thickTop="1" x14ac:dyDescent="0.25">
      <c r="E187" s="117"/>
      <c r="F187" s="165"/>
      <c r="G187" s="121"/>
      <c r="H187" s="23"/>
      <c r="I187" s="381">
        <f>SUM(I182:I186)</f>
        <v>61381000</v>
      </c>
      <c r="J187" s="381">
        <f t="shared" ref="J187" si="27">SUM(J182:J186)</f>
        <v>60229406.060000002</v>
      </c>
      <c r="K187" s="381">
        <f t="shared" ref="K187" si="28">SUM(K182:K186)</f>
        <v>55365740.240000002</v>
      </c>
    </row>
    <row r="188" spans="1:12" s="57" customFormat="1" ht="18.75" thickBot="1" x14ac:dyDescent="0.3">
      <c r="A188" s="127" t="s">
        <v>41</v>
      </c>
      <c r="B188" s="128">
        <f>SUM(B173,B144,B184)</f>
        <v>61381000</v>
      </c>
      <c r="C188" s="128">
        <f>SUM(C173,C144,C184)</f>
        <v>60229406.060000002</v>
      </c>
      <c r="D188" s="128">
        <f>SUM(D173,D144,D184)</f>
        <v>55365740.240000002</v>
      </c>
      <c r="E188" s="129">
        <f>D188/C188*100</f>
        <v>91.924765429108064</v>
      </c>
      <c r="F188" s="200"/>
      <c r="G188" s="130"/>
      <c r="H188" s="130"/>
    </row>
    <row r="189" spans="1:12" s="58" customFormat="1" ht="13.5" thickTop="1" x14ac:dyDescent="0.2">
      <c r="E189" s="117"/>
      <c r="F189" s="165"/>
      <c r="G189" s="121"/>
      <c r="H189" s="121"/>
    </row>
    <row r="190" spans="1:12" s="58" customFormat="1" x14ac:dyDescent="0.2">
      <c r="E190" s="117"/>
      <c r="F190" s="165"/>
      <c r="G190" s="121"/>
      <c r="H190" s="121"/>
    </row>
    <row r="191" spans="1:12" s="58" customFormat="1" x14ac:dyDescent="0.2">
      <c r="E191" s="117"/>
      <c r="F191" s="165"/>
      <c r="G191" s="121"/>
      <c r="H191" s="121"/>
    </row>
    <row r="192" spans="1:12" ht="15" customHeight="1" x14ac:dyDescent="0.25">
      <c r="A192" s="98" t="s">
        <v>61</v>
      </c>
    </row>
    <row r="193" spans="1:9" ht="15" customHeight="1" thickBot="1" x14ac:dyDescent="0.3">
      <c r="A193" s="101" t="s">
        <v>31</v>
      </c>
      <c r="E193" s="102" t="s">
        <v>18</v>
      </c>
    </row>
    <row r="194" spans="1:9" ht="14.25" thickTop="1" thickBot="1" x14ac:dyDescent="0.25">
      <c r="A194" s="103" t="s">
        <v>5</v>
      </c>
      <c r="B194" s="104" t="s">
        <v>0</v>
      </c>
      <c r="C194" s="105" t="s">
        <v>1</v>
      </c>
      <c r="D194" s="106" t="s">
        <v>4</v>
      </c>
      <c r="E194" s="107" t="s">
        <v>6</v>
      </c>
    </row>
    <row r="195" spans="1:9" ht="15.75" thickTop="1" x14ac:dyDescent="0.2">
      <c r="A195" s="108" t="s">
        <v>8</v>
      </c>
      <c r="B195" s="133">
        <f>SUM(B196:B204)</f>
        <v>4608000</v>
      </c>
      <c r="C195" s="133">
        <f t="shared" ref="C195:D195" si="29">SUM(C196:C204)</f>
        <v>5107035</v>
      </c>
      <c r="D195" s="133">
        <f t="shared" si="29"/>
        <v>4235727</v>
      </c>
      <c r="E195" s="123">
        <f>D195/C195*100</f>
        <v>82.939063468333387</v>
      </c>
      <c r="F195" s="99"/>
    </row>
    <row r="196" spans="1:9" x14ac:dyDescent="0.2">
      <c r="A196" s="74" t="s">
        <v>464</v>
      </c>
      <c r="B196" s="137">
        <v>0</v>
      </c>
      <c r="C196" s="437">
        <v>1324502</v>
      </c>
      <c r="D196" s="431">
        <v>1324499</v>
      </c>
      <c r="E196" s="111">
        <f t="shared" ref="E196:E204" si="30">D196/C196*100</f>
        <v>99.99977349977577</v>
      </c>
      <c r="F196" s="168">
        <v>100025</v>
      </c>
      <c r="G196" s="330" t="s">
        <v>96</v>
      </c>
      <c r="H196" s="194"/>
      <c r="I196" s="194"/>
    </row>
    <row r="197" spans="1:9" x14ac:dyDescent="0.2">
      <c r="A197" s="74" t="s">
        <v>465</v>
      </c>
      <c r="B197" s="137">
        <v>318000</v>
      </c>
      <c r="C197" s="437">
        <v>318000</v>
      </c>
      <c r="D197" s="431">
        <v>0</v>
      </c>
      <c r="E197" s="111">
        <f t="shared" si="30"/>
        <v>0</v>
      </c>
      <c r="F197" s="168">
        <v>100693</v>
      </c>
      <c r="G197" s="330" t="s">
        <v>96</v>
      </c>
      <c r="H197" s="194"/>
      <c r="I197" s="194"/>
    </row>
    <row r="198" spans="1:9" s="97" customFormat="1" x14ac:dyDescent="0.2">
      <c r="A198" s="74" t="s">
        <v>466</v>
      </c>
      <c r="B198" s="137">
        <v>871000</v>
      </c>
      <c r="C198" s="437">
        <v>0</v>
      </c>
      <c r="D198" s="431">
        <v>0</v>
      </c>
      <c r="E198" s="111">
        <v>0</v>
      </c>
      <c r="F198" s="168">
        <v>100571</v>
      </c>
      <c r="G198" s="391" t="s">
        <v>94</v>
      </c>
      <c r="H198" s="92"/>
    </row>
    <row r="199" spans="1:9" s="97" customFormat="1" x14ac:dyDescent="0.2">
      <c r="A199" s="74" t="s">
        <v>281</v>
      </c>
      <c r="B199" s="137">
        <v>49000</v>
      </c>
      <c r="C199" s="437">
        <v>79700</v>
      </c>
      <c r="D199" s="431">
        <v>79700</v>
      </c>
      <c r="E199" s="111">
        <f t="shared" si="30"/>
        <v>100</v>
      </c>
      <c r="F199" s="168">
        <v>100417</v>
      </c>
      <c r="G199" s="331" t="s">
        <v>102</v>
      </c>
      <c r="H199" s="92"/>
    </row>
    <row r="200" spans="1:9" s="97" customFormat="1" x14ac:dyDescent="0.2">
      <c r="A200" s="438" t="s">
        <v>467</v>
      </c>
      <c r="B200" s="137">
        <v>1037000</v>
      </c>
      <c r="C200" s="437">
        <v>0</v>
      </c>
      <c r="D200" s="431">
        <v>0</v>
      </c>
      <c r="E200" s="111">
        <v>0</v>
      </c>
      <c r="F200" s="168">
        <v>100418</v>
      </c>
      <c r="G200" s="331" t="s">
        <v>102</v>
      </c>
      <c r="H200" s="92"/>
    </row>
    <row r="201" spans="1:9" s="97" customFormat="1" x14ac:dyDescent="0.2">
      <c r="A201" s="438" t="s">
        <v>352</v>
      </c>
      <c r="B201" s="137">
        <v>2333000</v>
      </c>
      <c r="C201" s="437">
        <v>2846602</v>
      </c>
      <c r="D201" s="431">
        <v>2725688</v>
      </c>
      <c r="E201" s="111">
        <f t="shared" si="30"/>
        <v>95.752339104658816</v>
      </c>
      <c r="F201" s="168">
        <v>100657</v>
      </c>
      <c r="G201" s="331" t="s">
        <v>102</v>
      </c>
      <c r="H201" s="92"/>
    </row>
    <row r="202" spans="1:9" s="97" customFormat="1" x14ac:dyDescent="0.2">
      <c r="A202" s="74" t="s">
        <v>468</v>
      </c>
      <c r="B202" s="137">
        <v>0</v>
      </c>
      <c r="C202" s="437">
        <v>106000</v>
      </c>
      <c r="D202" s="431">
        <v>105840</v>
      </c>
      <c r="E202" s="111">
        <f t="shared" si="30"/>
        <v>99.84905660377359</v>
      </c>
      <c r="F202" s="168">
        <v>100802</v>
      </c>
      <c r="G202" s="331" t="s">
        <v>102</v>
      </c>
      <c r="H202" s="92"/>
    </row>
    <row r="203" spans="1:9" s="97" customFormat="1" x14ac:dyDescent="0.2">
      <c r="A203" s="74" t="s">
        <v>469</v>
      </c>
      <c r="B203" s="137">
        <v>0</v>
      </c>
      <c r="C203" s="437">
        <v>32231</v>
      </c>
      <c r="D203" s="431">
        <v>0</v>
      </c>
      <c r="E203" s="111">
        <f t="shared" si="30"/>
        <v>0</v>
      </c>
      <c r="F203" s="168">
        <v>100810</v>
      </c>
      <c r="G203" s="331" t="s">
        <v>102</v>
      </c>
      <c r="H203" s="92"/>
    </row>
    <row r="204" spans="1:9" s="97" customFormat="1" ht="13.5" thickBot="1" x14ac:dyDescent="0.25">
      <c r="A204" s="426" t="s">
        <v>470</v>
      </c>
      <c r="B204" s="439">
        <v>0</v>
      </c>
      <c r="C204" s="440">
        <v>400000</v>
      </c>
      <c r="D204" s="434">
        <v>0</v>
      </c>
      <c r="E204" s="420">
        <f t="shared" si="30"/>
        <v>0</v>
      </c>
      <c r="F204" s="168">
        <v>100811</v>
      </c>
      <c r="G204" s="331" t="s">
        <v>102</v>
      </c>
      <c r="H204" s="92"/>
    </row>
    <row r="205" spans="1:9" ht="13.5" thickTop="1" x14ac:dyDescent="0.2">
      <c r="A205" s="131"/>
      <c r="B205" s="132"/>
      <c r="C205" s="134"/>
      <c r="D205" s="134"/>
      <c r="E205" s="117"/>
      <c r="F205" s="99"/>
    </row>
    <row r="206" spans="1:9" ht="15" customHeight="1" thickBot="1" x14ac:dyDescent="0.25">
      <c r="A206" s="122" t="s">
        <v>63</v>
      </c>
      <c r="E206" s="102" t="s">
        <v>18</v>
      </c>
    </row>
    <row r="207" spans="1:9" ht="14.25" thickTop="1" thickBot="1" x14ac:dyDescent="0.25">
      <c r="A207" s="103" t="s">
        <v>5</v>
      </c>
      <c r="B207" s="104" t="s">
        <v>0</v>
      </c>
      <c r="C207" s="105" t="s">
        <v>1</v>
      </c>
      <c r="D207" s="106" t="s">
        <v>4</v>
      </c>
      <c r="E207" s="107" t="s">
        <v>6</v>
      </c>
    </row>
    <row r="208" spans="1:9" ht="15.75" thickTop="1" x14ac:dyDescent="0.2">
      <c r="A208" s="108" t="s">
        <v>8</v>
      </c>
      <c r="B208" s="133">
        <f>SUM(B209:B212)</f>
        <v>300000</v>
      </c>
      <c r="C208" s="133">
        <f t="shared" ref="C208:D208" si="31">SUM(C209:C212)</f>
        <v>1539120</v>
      </c>
      <c r="D208" s="133">
        <f t="shared" si="31"/>
        <v>1539120</v>
      </c>
      <c r="E208" s="123">
        <f>D208/C208*100</f>
        <v>100</v>
      </c>
      <c r="F208" s="99"/>
    </row>
    <row r="209" spans="1:11" s="80" customFormat="1" x14ac:dyDescent="0.2">
      <c r="A209" s="115" t="s">
        <v>505</v>
      </c>
      <c r="B209" s="435">
        <v>0</v>
      </c>
      <c r="C209" s="424">
        <v>279120</v>
      </c>
      <c r="D209" s="424">
        <v>279120</v>
      </c>
      <c r="E209" s="111">
        <f>D209/C209*100</f>
        <v>100</v>
      </c>
      <c r="F209" s="168">
        <v>1603</v>
      </c>
      <c r="G209" s="349" t="s">
        <v>371</v>
      </c>
      <c r="H209" s="100"/>
    </row>
    <row r="210" spans="1:11" s="80" customFormat="1" x14ac:dyDescent="0.2">
      <c r="A210" s="115" t="s">
        <v>576</v>
      </c>
      <c r="B210" s="435">
        <v>300000</v>
      </c>
      <c r="C210" s="424">
        <f>300000+700000</f>
        <v>1000000</v>
      </c>
      <c r="D210" s="424">
        <f>300000+700000</f>
        <v>1000000</v>
      </c>
      <c r="E210" s="111">
        <f t="shared" ref="E210:E212" si="32">D210/C210*100</f>
        <v>100</v>
      </c>
      <c r="F210" s="168">
        <v>1608</v>
      </c>
      <c r="G210" s="349" t="s">
        <v>577</v>
      </c>
      <c r="H210" s="100"/>
    </row>
    <row r="211" spans="1:11" s="80" customFormat="1" x14ac:dyDescent="0.2">
      <c r="A211" s="115" t="s">
        <v>503</v>
      </c>
      <c r="B211" s="435">
        <v>0</v>
      </c>
      <c r="C211" s="424">
        <v>100000</v>
      </c>
      <c r="D211" s="424">
        <v>100000</v>
      </c>
      <c r="E211" s="111">
        <f t="shared" si="32"/>
        <v>100</v>
      </c>
      <c r="F211" s="168">
        <v>1606</v>
      </c>
      <c r="G211" s="349" t="s">
        <v>371</v>
      </c>
      <c r="H211" s="100"/>
    </row>
    <row r="212" spans="1:11" s="80" customFormat="1" ht="13.5" thickBot="1" x14ac:dyDescent="0.25">
      <c r="A212" s="428" t="s">
        <v>504</v>
      </c>
      <c r="B212" s="436">
        <v>0</v>
      </c>
      <c r="C212" s="427">
        <v>160000</v>
      </c>
      <c r="D212" s="427">
        <v>160000</v>
      </c>
      <c r="E212" s="420">
        <f t="shared" si="32"/>
        <v>100</v>
      </c>
      <c r="F212" s="168">
        <v>1607</v>
      </c>
      <c r="G212" s="349" t="s">
        <v>371</v>
      </c>
      <c r="H212" s="100"/>
    </row>
    <row r="213" spans="1:11" s="58" customFormat="1" ht="13.5" thickTop="1" x14ac:dyDescent="0.2">
      <c r="B213" s="179"/>
      <c r="C213" s="179"/>
      <c r="D213" s="179"/>
      <c r="E213" s="117"/>
      <c r="F213" s="165"/>
      <c r="G213" s="121"/>
      <c r="H213" s="121"/>
    </row>
    <row r="214" spans="1:11" ht="15" customHeight="1" thickBot="1" x14ac:dyDescent="0.3">
      <c r="A214" s="101" t="s">
        <v>324</v>
      </c>
      <c r="E214" s="102" t="s">
        <v>18</v>
      </c>
      <c r="F214" s="49"/>
      <c r="G214" s="187"/>
      <c r="H214" s="391" t="s">
        <v>416</v>
      </c>
      <c r="I214" s="392">
        <f>SUM(B198)</f>
        <v>871000</v>
      </c>
      <c r="J214" s="392">
        <f t="shared" ref="J214:K214" si="33">SUM(C198)</f>
        <v>0</v>
      </c>
      <c r="K214" s="392">
        <f t="shared" si="33"/>
        <v>0</v>
      </c>
    </row>
    <row r="215" spans="1:11" ht="14.25" thickTop="1" thickBot="1" x14ac:dyDescent="0.25">
      <c r="A215" s="103" t="s">
        <v>5</v>
      </c>
      <c r="B215" s="104" t="s">
        <v>0</v>
      </c>
      <c r="C215" s="105" t="s">
        <v>1</v>
      </c>
      <c r="D215" s="106" t="s">
        <v>4</v>
      </c>
      <c r="E215" s="107" t="s">
        <v>6</v>
      </c>
      <c r="F215" s="49"/>
      <c r="G215" s="187"/>
      <c r="H215" s="389" t="s">
        <v>415</v>
      </c>
      <c r="I215" s="390">
        <f>SUM(B216)</f>
        <v>0</v>
      </c>
      <c r="J215" s="390">
        <f t="shared" ref="J215:K215" si="34">SUM(C216)</f>
        <v>254450</v>
      </c>
      <c r="K215" s="390">
        <f t="shared" si="34"/>
        <v>252000</v>
      </c>
    </row>
    <row r="216" spans="1:11" s="160" customFormat="1" ht="15.75" thickTop="1" x14ac:dyDescent="0.2">
      <c r="A216" s="108" t="s">
        <v>8</v>
      </c>
      <c r="B216" s="109">
        <f>SUM(B217:B217)</f>
        <v>0</v>
      </c>
      <c r="C216" s="109">
        <f>SUM(C217:C217)</f>
        <v>254450</v>
      </c>
      <c r="D216" s="109">
        <f>SUM(D217:D217)</f>
        <v>252000</v>
      </c>
      <c r="E216" s="158">
        <f>D216/C216*100</f>
        <v>99.037138927097658</v>
      </c>
      <c r="F216" s="159" t="s">
        <v>2</v>
      </c>
      <c r="G216" s="188"/>
      <c r="H216" s="331" t="s">
        <v>102</v>
      </c>
      <c r="I216" s="382">
        <f>SUM(B199:B204)</f>
        <v>3419000</v>
      </c>
      <c r="J216" s="382">
        <f t="shared" ref="J216:K216" si="35">SUM(C199:C204)</f>
        <v>3464533</v>
      </c>
      <c r="K216" s="382">
        <f t="shared" si="35"/>
        <v>2911228</v>
      </c>
    </row>
    <row r="217" spans="1:11" s="160" customFormat="1" ht="13.5" thickBot="1" x14ac:dyDescent="0.25">
      <c r="A217" s="430" t="s">
        <v>502</v>
      </c>
      <c r="B217" s="419">
        <v>0</v>
      </c>
      <c r="C217" s="427">
        <f>74969+179481</f>
        <v>254450</v>
      </c>
      <c r="D217" s="427">
        <v>252000</v>
      </c>
      <c r="E217" s="420">
        <f>D217/C217*100</f>
        <v>99.037138927097658</v>
      </c>
      <c r="F217" s="347"/>
      <c r="G217" s="389" t="s">
        <v>415</v>
      </c>
      <c r="H217" s="330" t="s">
        <v>96</v>
      </c>
      <c r="I217" s="383">
        <f>SUM(B196:B197)</f>
        <v>318000</v>
      </c>
      <c r="J217" s="383">
        <f t="shared" ref="J217:K217" si="36">SUM(C196:C197)</f>
        <v>1642502</v>
      </c>
      <c r="K217" s="383">
        <f t="shared" si="36"/>
        <v>1324499</v>
      </c>
    </row>
    <row r="218" spans="1:11" s="58" customFormat="1" ht="13.5" thickTop="1" x14ac:dyDescent="0.2">
      <c r="B218" s="179"/>
      <c r="C218" s="179"/>
      <c r="D218" s="179"/>
      <c r="E218" s="117"/>
      <c r="F218" s="165"/>
      <c r="G218" s="121"/>
      <c r="H218" s="349" t="s">
        <v>371</v>
      </c>
      <c r="I218" s="384">
        <f>SUM(B208)</f>
        <v>300000</v>
      </c>
      <c r="J218" s="384">
        <f t="shared" ref="J218:K218" si="37">SUM(C208)</f>
        <v>1539120</v>
      </c>
      <c r="K218" s="384">
        <f t="shared" si="37"/>
        <v>1539120</v>
      </c>
    </row>
    <row r="219" spans="1:11" s="58" customFormat="1" ht="15" x14ac:dyDescent="0.25">
      <c r="B219" s="179"/>
      <c r="C219" s="179"/>
      <c r="D219" s="179"/>
      <c r="E219" s="117"/>
      <c r="F219" s="165"/>
      <c r="G219" s="121"/>
      <c r="H219" s="23"/>
      <c r="I219" s="381">
        <f>SUM(I214:I218)</f>
        <v>4908000</v>
      </c>
      <c r="J219" s="381">
        <f t="shared" ref="J219" si="38">SUM(J214:J218)</f>
        <v>6900605</v>
      </c>
      <c r="K219" s="381">
        <f t="shared" ref="K219" si="39">SUM(K214:K218)</f>
        <v>6026847</v>
      </c>
    </row>
    <row r="220" spans="1:11" s="57" customFormat="1" ht="18.75" thickBot="1" x14ac:dyDescent="0.3">
      <c r="A220" s="127" t="s">
        <v>37</v>
      </c>
      <c r="B220" s="128">
        <f>SUM(B208,B195,B216)</f>
        <v>4908000</v>
      </c>
      <c r="C220" s="128">
        <f>SUM(C208,C195,C216)</f>
        <v>6900605</v>
      </c>
      <c r="D220" s="128">
        <f>SUM(D208,D195,D216)</f>
        <v>6026847</v>
      </c>
      <c r="E220" s="129">
        <f>D220/C220*100</f>
        <v>87.337950802864384</v>
      </c>
      <c r="F220" s="204"/>
      <c r="G220" s="130"/>
    </row>
    <row r="221" spans="1:11" s="58" customFormat="1" ht="13.5" thickTop="1" x14ac:dyDescent="0.2">
      <c r="E221" s="117"/>
      <c r="F221" s="165"/>
      <c r="G221" s="121"/>
    </row>
    <row r="222" spans="1:11" s="58" customFormat="1" x14ac:dyDescent="0.2">
      <c r="E222" s="117"/>
      <c r="F222" s="165"/>
      <c r="G222" s="121"/>
    </row>
    <row r="223" spans="1:11" ht="15" customHeight="1" x14ac:dyDescent="0.25">
      <c r="A223" s="98" t="s">
        <v>69</v>
      </c>
    </row>
    <row r="224" spans="1:11" ht="15" customHeight="1" thickBot="1" x14ac:dyDescent="0.3">
      <c r="A224" s="101" t="s">
        <v>31</v>
      </c>
      <c r="E224" s="102" t="s">
        <v>18</v>
      </c>
    </row>
    <row r="225" spans="1:9" ht="14.25" thickTop="1" thickBot="1" x14ac:dyDescent="0.25">
      <c r="A225" s="103" t="s">
        <v>5</v>
      </c>
      <c r="B225" s="104" t="s">
        <v>0</v>
      </c>
      <c r="C225" s="105" t="s">
        <v>1</v>
      </c>
      <c r="D225" s="106" t="s">
        <v>4</v>
      </c>
      <c r="E225" s="107" t="s">
        <v>6</v>
      </c>
    </row>
    <row r="226" spans="1:9" ht="15.75" thickTop="1" x14ac:dyDescent="0.2">
      <c r="A226" s="108" t="s">
        <v>10</v>
      </c>
      <c r="B226" s="133">
        <f>SUM(B227:B240)</f>
        <v>3790000</v>
      </c>
      <c r="C226" s="133">
        <f t="shared" ref="C226:D226" si="40">SUM(C227:C240)</f>
        <v>6883794</v>
      </c>
      <c r="D226" s="133">
        <f t="shared" si="40"/>
        <v>5882287.2399999993</v>
      </c>
      <c r="E226" s="158">
        <f>D226/C226*100</f>
        <v>85.451238662865265</v>
      </c>
      <c r="F226" s="99"/>
    </row>
    <row r="227" spans="1:9" s="184" customFormat="1" ht="25.5" x14ac:dyDescent="0.2">
      <c r="A227" s="115" t="s">
        <v>471</v>
      </c>
      <c r="B227" s="138">
        <v>83000</v>
      </c>
      <c r="C227" s="138">
        <v>83000</v>
      </c>
      <c r="D227" s="138">
        <v>82800</v>
      </c>
      <c r="E227" s="111">
        <f t="shared" ref="E227:E240" si="41">D227/C227*100</f>
        <v>99.759036144578317</v>
      </c>
      <c r="F227" s="172">
        <v>100432</v>
      </c>
      <c r="G227" s="331" t="s">
        <v>102</v>
      </c>
      <c r="H227" s="183"/>
    </row>
    <row r="228" spans="1:9" s="182" customFormat="1" x14ac:dyDescent="0.2">
      <c r="A228" s="74" t="s">
        <v>474</v>
      </c>
      <c r="B228" s="424">
        <v>141000</v>
      </c>
      <c r="C228" s="137">
        <v>141000</v>
      </c>
      <c r="D228" s="137">
        <v>140400</v>
      </c>
      <c r="E228" s="111">
        <f t="shared" si="41"/>
        <v>99.574468085106389</v>
      </c>
      <c r="F228" s="166">
        <v>100649</v>
      </c>
      <c r="G228" s="331" t="s">
        <v>102</v>
      </c>
      <c r="H228" s="181"/>
    </row>
    <row r="229" spans="1:9" s="125" customFormat="1" x14ac:dyDescent="0.2">
      <c r="A229" s="74" t="s">
        <v>473</v>
      </c>
      <c r="B229" s="424">
        <v>21000</v>
      </c>
      <c r="C229" s="137">
        <v>21000</v>
      </c>
      <c r="D229" s="137">
        <v>20400</v>
      </c>
      <c r="E229" s="111">
        <f t="shared" si="41"/>
        <v>97.142857142857139</v>
      </c>
      <c r="F229" s="166">
        <v>100650</v>
      </c>
      <c r="G229" s="331" t="s">
        <v>102</v>
      </c>
      <c r="H229" s="124"/>
    </row>
    <row r="230" spans="1:9" s="125" customFormat="1" x14ac:dyDescent="0.2">
      <c r="A230" s="74" t="s">
        <v>472</v>
      </c>
      <c r="B230" s="424">
        <v>28000</v>
      </c>
      <c r="C230" s="137">
        <v>28000</v>
      </c>
      <c r="D230" s="137">
        <v>27600</v>
      </c>
      <c r="E230" s="111">
        <f t="shared" si="41"/>
        <v>98.571428571428584</v>
      </c>
      <c r="F230" s="166">
        <v>100651</v>
      </c>
      <c r="G230" s="331" t="s">
        <v>102</v>
      </c>
      <c r="H230" s="124"/>
    </row>
    <row r="231" spans="1:9" s="140" customFormat="1" ht="25.5" x14ac:dyDescent="0.2">
      <c r="A231" s="115" t="s">
        <v>355</v>
      </c>
      <c r="B231" s="422">
        <v>3517000</v>
      </c>
      <c r="C231" s="138">
        <v>3617000</v>
      </c>
      <c r="D231" s="138">
        <v>3613102.6</v>
      </c>
      <c r="E231" s="111">
        <f t="shared" si="41"/>
        <v>99.892247719104233</v>
      </c>
      <c r="F231" s="180">
        <v>100653</v>
      </c>
      <c r="G231" s="331" t="s">
        <v>102</v>
      </c>
      <c r="H231" s="139"/>
    </row>
    <row r="232" spans="1:9" s="140" customFormat="1" x14ac:dyDescent="0.2">
      <c r="A232" s="115" t="s">
        <v>475</v>
      </c>
      <c r="B232" s="422">
        <v>0</v>
      </c>
      <c r="C232" s="138">
        <v>80000</v>
      </c>
      <c r="D232" s="138">
        <v>9580</v>
      </c>
      <c r="E232" s="111">
        <f t="shared" si="41"/>
        <v>11.975</v>
      </c>
      <c r="F232" s="180">
        <v>100132</v>
      </c>
      <c r="G232" s="330" t="s">
        <v>96</v>
      </c>
      <c r="H232" s="139"/>
    </row>
    <row r="233" spans="1:9" s="140" customFormat="1" x14ac:dyDescent="0.2">
      <c r="A233" s="115" t="s">
        <v>476</v>
      </c>
      <c r="B233" s="422">
        <v>0</v>
      </c>
      <c r="C233" s="138">
        <v>17760</v>
      </c>
      <c r="D233" s="138">
        <v>17760</v>
      </c>
      <c r="E233" s="111">
        <f t="shared" si="41"/>
        <v>100</v>
      </c>
      <c r="F233" s="180">
        <v>100560</v>
      </c>
      <c r="G233" s="330" t="s">
        <v>96</v>
      </c>
      <c r="H233" s="139"/>
    </row>
    <row r="234" spans="1:9" s="140" customFormat="1" x14ac:dyDescent="0.2">
      <c r="A234" s="115" t="s">
        <v>365</v>
      </c>
      <c r="B234" s="422">
        <v>0</v>
      </c>
      <c r="C234" s="138">
        <v>617142</v>
      </c>
      <c r="D234" s="138">
        <v>537142</v>
      </c>
      <c r="E234" s="111">
        <f t="shared" si="41"/>
        <v>87.037019032896808</v>
      </c>
      <c r="F234" s="180">
        <v>100660</v>
      </c>
      <c r="G234" s="330" t="s">
        <v>96</v>
      </c>
      <c r="H234" s="139"/>
    </row>
    <row r="235" spans="1:9" s="140" customFormat="1" ht="25.5" x14ac:dyDescent="0.2">
      <c r="A235" s="115" t="s">
        <v>477</v>
      </c>
      <c r="B235" s="422">
        <v>0</v>
      </c>
      <c r="C235" s="422">
        <v>209600</v>
      </c>
      <c r="D235" s="422">
        <v>9600</v>
      </c>
      <c r="E235" s="111">
        <f t="shared" si="41"/>
        <v>4.5801526717557248</v>
      </c>
      <c r="F235" s="180">
        <v>100664</v>
      </c>
      <c r="G235" s="330" t="s">
        <v>96</v>
      </c>
      <c r="H235" s="139"/>
    </row>
    <row r="236" spans="1:9" s="140" customFormat="1" x14ac:dyDescent="0.2">
      <c r="A236" s="115" t="s">
        <v>478</v>
      </c>
      <c r="B236" s="422">
        <v>0</v>
      </c>
      <c r="C236" s="138">
        <v>36960</v>
      </c>
      <c r="D236" s="138">
        <v>36960</v>
      </c>
      <c r="E236" s="111">
        <f t="shared" si="41"/>
        <v>100</v>
      </c>
      <c r="F236" s="180">
        <v>100665</v>
      </c>
      <c r="G236" s="330" t="s">
        <v>96</v>
      </c>
      <c r="H236" s="139"/>
    </row>
    <row r="237" spans="1:9" s="140" customFormat="1" ht="25.5" x14ac:dyDescent="0.2">
      <c r="A237" s="115" t="s">
        <v>479</v>
      </c>
      <c r="B237" s="422">
        <v>0</v>
      </c>
      <c r="C237" s="138">
        <v>227480</v>
      </c>
      <c r="D237" s="138">
        <v>27480</v>
      </c>
      <c r="E237" s="111">
        <f t="shared" si="41"/>
        <v>12.080182873219623</v>
      </c>
      <c r="F237" s="180">
        <v>100666</v>
      </c>
      <c r="G237" s="330" t="s">
        <v>96</v>
      </c>
      <c r="H237" s="139"/>
    </row>
    <row r="238" spans="1:9" s="140" customFormat="1" x14ac:dyDescent="0.2">
      <c r="A238" s="115" t="s">
        <v>480</v>
      </c>
      <c r="B238" s="422">
        <v>0</v>
      </c>
      <c r="C238" s="138">
        <v>1647800</v>
      </c>
      <c r="D238" s="138">
        <v>1297544</v>
      </c>
      <c r="E238" s="111">
        <f t="shared" si="41"/>
        <v>78.74402233280739</v>
      </c>
      <c r="F238" s="180">
        <v>100670</v>
      </c>
      <c r="G238" s="330" t="s">
        <v>96</v>
      </c>
      <c r="H238" s="139"/>
    </row>
    <row r="239" spans="1:9" s="140" customFormat="1" x14ac:dyDescent="0.2">
      <c r="A239" s="115" t="s">
        <v>365</v>
      </c>
      <c r="B239" s="422">
        <v>0</v>
      </c>
      <c r="C239" s="138">
        <v>57052</v>
      </c>
      <c r="D239" s="138">
        <v>53984</v>
      </c>
      <c r="E239" s="111">
        <f t="shared" si="41"/>
        <v>94.622449695015078</v>
      </c>
      <c r="F239" s="180">
        <v>100660</v>
      </c>
      <c r="G239" s="391" t="s">
        <v>416</v>
      </c>
      <c r="H239" s="139"/>
    </row>
    <row r="240" spans="1:9" s="140" customFormat="1" x14ac:dyDescent="0.2">
      <c r="A240" s="115" t="s">
        <v>480</v>
      </c>
      <c r="B240" s="422">
        <v>0</v>
      </c>
      <c r="C240" s="138">
        <v>100000</v>
      </c>
      <c r="D240" s="138">
        <v>7934.64</v>
      </c>
      <c r="E240" s="111">
        <f t="shared" si="41"/>
        <v>7.9346399999999999</v>
      </c>
      <c r="F240" s="180">
        <v>100670</v>
      </c>
      <c r="G240" s="391" t="s">
        <v>416</v>
      </c>
      <c r="H240" s="195"/>
      <c r="I240" s="195"/>
    </row>
    <row r="241" spans="1:11" s="140" customFormat="1" x14ac:dyDescent="0.2">
      <c r="A241" s="115"/>
      <c r="B241" s="135"/>
      <c r="C241" s="138"/>
      <c r="D241" s="138"/>
      <c r="E241" s="111"/>
      <c r="F241" s="180"/>
      <c r="G241" s="139"/>
      <c r="H241" s="139"/>
    </row>
    <row r="242" spans="1:11" s="125" customFormat="1" x14ac:dyDescent="0.2">
      <c r="A242" s="74"/>
      <c r="B242" s="70"/>
      <c r="C242" s="137"/>
      <c r="D242" s="137"/>
      <c r="E242" s="111"/>
      <c r="F242" s="166"/>
      <c r="G242" s="124"/>
      <c r="H242" s="124"/>
    </row>
    <row r="243" spans="1:11" ht="15" x14ac:dyDescent="0.2">
      <c r="A243" s="108" t="s">
        <v>70</v>
      </c>
      <c r="B243" s="133">
        <f>SUM(B244:B250)</f>
        <v>27879000</v>
      </c>
      <c r="C243" s="133">
        <f t="shared" ref="C243:D243" si="42">SUM(C244:C250)</f>
        <v>27898089.300000001</v>
      </c>
      <c r="D243" s="133">
        <f t="shared" si="42"/>
        <v>12360422.800000001</v>
      </c>
      <c r="E243" s="158">
        <f t="shared" ref="E243:E250" si="43">D243/C243*100</f>
        <v>44.305624901702501</v>
      </c>
      <c r="F243" s="99"/>
    </row>
    <row r="244" spans="1:11" x14ac:dyDescent="0.2">
      <c r="A244" s="74" t="s">
        <v>481</v>
      </c>
      <c r="B244" s="137">
        <v>0</v>
      </c>
      <c r="C244" s="431">
        <v>1</v>
      </c>
      <c r="D244" s="431">
        <v>0</v>
      </c>
      <c r="E244" s="111">
        <v>0</v>
      </c>
      <c r="F244" s="168">
        <v>100577</v>
      </c>
      <c r="G244" s="331" t="s">
        <v>102</v>
      </c>
    </row>
    <row r="245" spans="1:11" s="186" customFormat="1" ht="25.5" x14ac:dyDescent="0.2">
      <c r="A245" s="432" t="s">
        <v>482</v>
      </c>
      <c r="B245" s="138">
        <v>0</v>
      </c>
      <c r="C245" s="417">
        <v>6600</v>
      </c>
      <c r="D245" s="417">
        <v>6600</v>
      </c>
      <c r="E245" s="433">
        <f t="shared" si="43"/>
        <v>100</v>
      </c>
      <c r="F245" s="164">
        <v>100578</v>
      </c>
      <c r="G245" s="331" t="s">
        <v>102</v>
      </c>
      <c r="H245" s="185"/>
    </row>
    <row r="246" spans="1:11" x14ac:dyDescent="0.2">
      <c r="A246" s="74" t="s">
        <v>483</v>
      </c>
      <c r="B246" s="137">
        <v>10853000</v>
      </c>
      <c r="C246" s="431">
        <v>9155104</v>
      </c>
      <c r="D246" s="431">
        <v>9155104</v>
      </c>
      <c r="E246" s="111">
        <f t="shared" si="43"/>
        <v>100</v>
      </c>
      <c r="F246" s="168">
        <v>100579</v>
      </c>
      <c r="G246" s="331" t="s">
        <v>102</v>
      </c>
    </row>
    <row r="247" spans="1:11" x14ac:dyDescent="0.2">
      <c r="A247" s="74" t="s">
        <v>484</v>
      </c>
      <c r="B247" s="137">
        <v>0</v>
      </c>
      <c r="C247" s="431">
        <v>0.3</v>
      </c>
      <c r="D247" s="431">
        <v>0</v>
      </c>
      <c r="E247" s="111">
        <f t="shared" si="43"/>
        <v>0</v>
      </c>
      <c r="F247" s="168">
        <v>100654</v>
      </c>
      <c r="G247" s="331" t="s">
        <v>102</v>
      </c>
    </row>
    <row r="248" spans="1:11" s="136" customFormat="1" ht="25.5" x14ac:dyDescent="0.2">
      <c r="A248" s="115" t="s">
        <v>485</v>
      </c>
      <c r="B248" s="138">
        <v>1000000</v>
      </c>
      <c r="C248" s="417">
        <v>3437000</v>
      </c>
      <c r="D248" s="417">
        <v>2720946</v>
      </c>
      <c r="E248" s="111">
        <f t="shared" si="43"/>
        <v>79.16630782659297</v>
      </c>
      <c r="F248" s="164">
        <v>100786</v>
      </c>
      <c r="G248" s="331" t="s">
        <v>102</v>
      </c>
      <c r="H248" s="112"/>
    </row>
    <row r="249" spans="1:11" x14ac:dyDescent="0.2">
      <c r="A249" s="74" t="s">
        <v>486</v>
      </c>
      <c r="B249" s="137">
        <v>16026000</v>
      </c>
      <c r="C249" s="431">
        <v>15183128</v>
      </c>
      <c r="D249" s="431">
        <v>361516.79999999999</v>
      </c>
      <c r="E249" s="111">
        <f t="shared" si="43"/>
        <v>2.3810429576830283</v>
      </c>
      <c r="F249" s="168">
        <v>100787</v>
      </c>
      <c r="G249" s="331" t="s">
        <v>102</v>
      </c>
    </row>
    <row r="250" spans="1:11" ht="13.5" thickBot="1" x14ac:dyDescent="0.25">
      <c r="A250" s="426" t="s">
        <v>487</v>
      </c>
      <c r="B250" s="427">
        <v>0</v>
      </c>
      <c r="C250" s="434">
        <v>116256</v>
      </c>
      <c r="D250" s="434">
        <v>116256</v>
      </c>
      <c r="E250" s="420">
        <f t="shared" si="43"/>
        <v>100</v>
      </c>
      <c r="F250" s="168">
        <v>100805</v>
      </c>
      <c r="G250" s="331" t="s">
        <v>102</v>
      </c>
    </row>
    <row r="251" spans="1:11" s="58" customFormat="1" ht="13.5" thickTop="1" x14ac:dyDescent="0.2">
      <c r="E251" s="117"/>
      <c r="F251" s="165"/>
      <c r="G251" s="121"/>
      <c r="H251" s="121"/>
    </row>
    <row r="252" spans="1:11" ht="15" customHeight="1" thickBot="1" x14ac:dyDescent="0.3">
      <c r="A252" s="101" t="s">
        <v>509</v>
      </c>
      <c r="E252" s="102" t="s">
        <v>18</v>
      </c>
      <c r="F252" s="49"/>
      <c r="G252" s="187"/>
      <c r="H252" s="49"/>
    </row>
    <row r="253" spans="1:11" ht="14.25" thickTop="1" thickBot="1" x14ac:dyDescent="0.25">
      <c r="A253" s="103" t="s">
        <v>5</v>
      </c>
      <c r="B253" s="104" t="s">
        <v>0</v>
      </c>
      <c r="C253" s="105" t="s">
        <v>1</v>
      </c>
      <c r="D253" s="106" t="s">
        <v>4</v>
      </c>
      <c r="E253" s="107" t="s">
        <v>6</v>
      </c>
      <c r="F253" s="49"/>
      <c r="G253" s="187"/>
      <c r="H253" s="391" t="s">
        <v>416</v>
      </c>
      <c r="I253" s="392">
        <f>SUM(B239:B240)</f>
        <v>0</v>
      </c>
      <c r="J253" s="392">
        <f t="shared" ref="J253:K253" si="44">SUM(C239:C240)</f>
        <v>157052</v>
      </c>
      <c r="K253" s="392">
        <f t="shared" si="44"/>
        <v>61918.64</v>
      </c>
    </row>
    <row r="254" spans="1:11" s="160" customFormat="1" ht="15.75" thickTop="1" x14ac:dyDescent="0.2">
      <c r="A254" s="108" t="s">
        <v>10</v>
      </c>
      <c r="B254" s="109">
        <f>SUM(B255:B256)</f>
        <v>0</v>
      </c>
      <c r="C254" s="109">
        <f t="shared" ref="C254:D254" si="45">SUM(C255:C256)</f>
        <v>320782.8</v>
      </c>
      <c r="D254" s="109">
        <f t="shared" si="45"/>
        <v>319782.8</v>
      </c>
      <c r="E254" s="158">
        <f>D254/C254*100</f>
        <v>99.688262587644971</v>
      </c>
      <c r="F254" s="159" t="s">
        <v>2</v>
      </c>
      <c r="G254" s="188"/>
      <c r="H254" s="389" t="s">
        <v>415</v>
      </c>
      <c r="I254" s="390">
        <f>SUM(B254)</f>
        <v>0</v>
      </c>
      <c r="J254" s="390">
        <f t="shared" ref="J254:K254" si="46">SUM(C254)</f>
        <v>320782.8</v>
      </c>
      <c r="K254" s="390">
        <f t="shared" si="46"/>
        <v>319782.8</v>
      </c>
    </row>
    <row r="255" spans="1:11" s="160" customFormat="1" x14ac:dyDescent="0.2">
      <c r="A255" s="416" t="s">
        <v>507</v>
      </c>
      <c r="B255" s="422">
        <v>0</v>
      </c>
      <c r="C255" s="424">
        <v>54140</v>
      </c>
      <c r="D255" s="424">
        <v>53140</v>
      </c>
      <c r="E255" s="111">
        <f t="shared" ref="E255:E256" si="47">D255/C255*100</f>
        <v>98.1529368304396</v>
      </c>
      <c r="F255" s="347"/>
      <c r="G255" s="389" t="s">
        <v>415</v>
      </c>
      <c r="H255" s="331" t="s">
        <v>102</v>
      </c>
      <c r="I255" s="382">
        <f>SUM(B227:B231,B244:B250)</f>
        <v>31669000</v>
      </c>
      <c r="J255" s="382">
        <f t="shared" ref="J255:K255" si="48">SUM(C227:C231,C244:C250)</f>
        <v>31788089.300000001</v>
      </c>
      <c r="K255" s="382">
        <f t="shared" si="48"/>
        <v>16244725.4</v>
      </c>
    </row>
    <row r="256" spans="1:11" s="160" customFormat="1" ht="13.5" thickBot="1" x14ac:dyDescent="0.25">
      <c r="A256" s="430" t="s">
        <v>508</v>
      </c>
      <c r="B256" s="419">
        <v>0</v>
      </c>
      <c r="C256" s="427">
        <f>104651.2+161991.6</f>
        <v>266642.8</v>
      </c>
      <c r="D256" s="427">
        <f>104651.2+161991.6</f>
        <v>266642.8</v>
      </c>
      <c r="E256" s="420">
        <f t="shared" si="47"/>
        <v>100</v>
      </c>
      <c r="F256" s="347"/>
      <c r="G256" s="389" t="s">
        <v>415</v>
      </c>
      <c r="H256" s="330" t="s">
        <v>96</v>
      </c>
      <c r="I256" s="383">
        <f>SUM(B232:B238)</f>
        <v>0</v>
      </c>
      <c r="J256" s="383">
        <f t="shared" ref="J256:K256" si="49">SUM(C232:C238)</f>
        <v>2836742</v>
      </c>
      <c r="K256" s="383">
        <f t="shared" si="49"/>
        <v>1936066</v>
      </c>
    </row>
    <row r="257" spans="1:11" s="58" customFormat="1" ht="13.5" thickTop="1" x14ac:dyDescent="0.2">
      <c r="B257" s="179"/>
      <c r="C257" s="179"/>
      <c r="D257" s="179"/>
      <c r="E257" s="117"/>
      <c r="F257" s="165"/>
      <c r="G257" s="121"/>
      <c r="H257" s="349" t="s">
        <v>371</v>
      </c>
      <c r="I257" s="384">
        <v>0</v>
      </c>
      <c r="J257" s="384">
        <v>0</v>
      </c>
      <c r="K257" s="384">
        <v>0</v>
      </c>
    </row>
    <row r="258" spans="1:11" s="57" customFormat="1" ht="18.75" thickBot="1" x14ac:dyDescent="0.3">
      <c r="A258" s="127" t="s">
        <v>38</v>
      </c>
      <c r="B258" s="128">
        <f>SUM(B243,B226,B254)</f>
        <v>31669000</v>
      </c>
      <c r="C258" s="128">
        <f>SUM(C243,C226,C254)</f>
        <v>35102666.099999994</v>
      </c>
      <c r="D258" s="128">
        <f>SUM(D243,D226,D254)</f>
        <v>18562492.84</v>
      </c>
      <c r="E258" s="129">
        <f>D258/C258*100</f>
        <v>52.880578321656323</v>
      </c>
      <c r="F258" s="91"/>
      <c r="G258" s="130"/>
      <c r="H258" s="130"/>
    </row>
    <row r="259" spans="1:11" s="58" customFormat="1" ht="13.5" thickTop="1" x14ac:dyDescent="0.2">
      <c r="E259" s="117"/>
      <c r="F259" s="165"/>
      <c r="G259" s="121"/>
      <c r="H259" s="121"/>
    </row>
    <row r="260" spans="1:11" s="58" customFormat="1" x14ac:dyDescent="0.2">
      <c r="E260" s="117"/>
      <c r="F260" s="165"/>
      <c r="G260" s="121"/>
      <c r="H260" s="121"/>
    </row>
    <row r="261" spans="1:11" s="23" customFormat="1" ht="18.75" customHeight="1" x14ac:dyDescent="0.25">
      <c r="A261" s="17" t="s">
        <v>40</v>
      </c>
      <c r="B261" s="25"/>
      <c r="C261" s="25"/>
      <c r="D261" s="25"/>
      <c r="E261" s="25"/>
      <c r="F261" s="22"/>
      <c r="H261" s="24"/>
    </row>
    <row r="262" spans="1:11" ht="15" customHeight="1" thickBot="1" x14ac:dyDescent="0.3">
      <c r="A262" s="101" t="s">
        <v>328</v>
      </c>
      <c r="E262" s="102" t="s">
        <v>18</v>
      </c>
    </row>
    <row r="263" spans="1:11" ht="14.25" thickTop="1" thickBot="1" x14ac:dyDescent="0.25">
      <c r="A263" s="103" t="s">
        <v>5</v>
      </c>
      <c r="B263" s="104" t="s">
        <v>0</v>
      </c>
      <c r="C263" s="105" t="s">
        <v>1</v>
      </c>
      <c r="D263" s="106" t="s">
        <v>4</v>
      </c>
      <c r="E263" s="107" t="s">
        <v>6</v>
      </c>
    </row>
    <row r="264" spans="1:11" ht="15.75" thickTop="1" x14ac:dyDescent="0.25">
      <c r="A264" s="191" t="s">
        <v>27</v>
      </c>
      <c r="B264" s="192">
        <f>SUM(B266:B266)</f>
        <v>0</v>
      </c>
      <c r="C264" s="192">
        <f>SUM(C265:C266)</f>
        <v>3178693</v>
      </c>
      <c r="D264" s="192">
        <f>SUM(D265:D266)</f>
        <v>3172693</v>
      </c>
      <c r="E264" s="193">
        <f>D264/C264*100</f>
        <v>99.811243174474541</v>
      </c>
      <c r="F264" s="99"/>
    </row>
    <row r="265" spans="1:11" x14ac:dyDescent="0.2">
      <c r="A265" s="74" t="s">
        <v>524</v>
      </c>
      <c r="B265" s="137">
        <v>0</v>
      </c>
      <c r="C265" s="137">
        <v>3113693</v>
      </c>
      <c r="D265" s="137">
        <v>3113693</v>
      </c>
      <c r="E265" s="111">
        <f t="shared" ref="E265:E266" si="50">D265/C265*100</f>
        <v>100</v>
      </c>
      <c r="F265" s="99">
        <v>6123</v>
      </c>
      <c r="G265" s="100" t="s">
        <v>526</v>
      </c>
    </row>
    <row r="266" spans="1:11" ht="13.5" thickBot="1" x14ac:dyDescent="0.25">
      <c r="A266" s="428" t="s">
        <v>525</v>
      </c>
      <c r="B266" s="429">
        <v>0</v>
      </c>
      <c r="C266" s="429">
        <v>65000</v>
      </c>
      <c r="D266" s="429">
        <v>59000</v>
      </c>
      <c r="E266" s="420">
        <f t="shared" si="50"/>
        <v>90.769230769230774</v>
      </c>
      <c r="F266" s="99">
        <v>6123</v>
      </c>
      <c r="H266" s="194"/>
      <c r="I266" s="194"/>
    </row>
    <row r="267" spans="1:11" s="58" customFormat="1" ht="13.5" thickTop="1" x14ac:dyDescent="0.2">
      <c r="E267" s="117"/>
      <c r="F267" s="165"/>
      <c r="G267" s="121"/>
      <c r="H267" s="121"/>
    </row>
    <row r="268" spans="1:11" s="57" customFormat="1" ht="18.75" thickBot="1" x14ac:dyDescent="0.3">
      <c r="A268" s="127" t="s">
        <v>42</v>
      </c>
      <c r="B268" s="128">
        <f>+B264</f>
        <v>0</v>
      </c>
      <c r="C268" s="128">
        <f t="shared" ref="C268:D268" si="51">+C264</f>
        <v>3178693</v>
      </c>
      <c r="D268" s="128">
        <f t="shared" si="51"/>
        <v>3172693</v>
      </c>
      <c r="E268" s="129">
        <f>D268/C268*100</f>
        <v>99.811243174474541</v>
      </c>
      <c r="F268" s="91"/>
      <c r="G268" s="130"/>
      <c r="H268" s="130"/>
    </row>
    <row r="269" spans="1:11" s="58" customFormat="1" ht="13.5" thickTop="1" x14ac:dyDescent="0.2">
      <c r="E269" s="117"/>
      <c r="F269" s="165"/>
      <c r="G269" s="121"/>
      <c r="H269" s="121"/>
    </row>
    <row r="270" spans="1:11" s="58" customFormat="1" x14ac:dyDescent="0.2">
      <c r="E270" s="117"/>
      <c r="F270" s="165"/>
      <c r="G270" s="121"/>
      <c r="H270" s="121"/>
    </row>
    <row r="271" spans="1:11" ht="15" customHeight="1" x14ac:dyDescent="0.25">
      <c r="A271" s="98" t="s">
        <v>565</v>
      </c>
      <c r="H271" s="194"/>
      <c r="I271" s="194"/>
    </row>
    <row r="272" spans="1:11" ht="15" customHeight="1" thickBot="1" x14ac:dyDescent="0.3">
      <c r="A272" s="101" t="s">
        <v>71</v>
      </c>
      <c r="E272" s="102" t="s">
        <v>18</v>
      </c>
      <c r="H272" s="194"/>
      <c r="I272" s="194"/>
    </row>
    <row r="273" spans="1:11" ht="14.25" thickTop="1" thickBot="1" x14ac:dyDescent="0.25">
      <c r="A273" s="103" t="s">
        <v>5</v>
      </c>
      <c r="B273" s="104" t="s">
        <v>0</v>
      </c>
      <c r="C273" s="105" t="s">
        <v>1</v>
      </c>
      <c r="D273" s="106" t="s">
        <v>4</v>
      </c>
      <c r="E273" s="107" t="s">
        <v>6</v>
      </c>
      <c r="H273" s="194"/>
      <c r="I273" s="194"/>
    </row>
    <row r="274" spans="1:11" ht="15.75" thickTop="1" x14ac:dyDescent="0.2">
      <c r="A274" s="108" t="s">
        <v>72</v>
      </c>
      <c r="B274" s="133">
        <f>SUM(B275:B279)</f>
        <v>0</v>
      </c>
      <c r="C274" s="133">
        <f>SUM(C275:C279)</f>
        <v>1245000</v>
      </c>
      <c r="D274" s="133">
        <f>SUM(D275:D279)</f>
        <v>1234996</v>
      </c>
      <c r="E274" s="123">
        <f t="shared" ref="E274:E283" si="52">D274/C274*100</f>
        <v>99.196465863453824</v>
      </c>
      <c r="F274" s="99"/>
      <c r="G274" s="100" t="s">
        <v>637</v>
      </c>
    </row>
    <row r="275" spans="1:11" s="125" customFormat="1" x14ac:dyDescent="0.2">
      <c r="A275" s="74" t="s">
        <v>510</v>
      </c>
      <c r="B275" s="424">
        <v>0</v>
      </c>
      <c r="C275" s="424">
        <v>250000</v>
      </c>
      <c r="D275" s="424">
        <v>240000</v>
      </c>
      <c r="E275" s="111">
        <f t="shared" si="52"/>
        <v>96</v>
      </c>
      <c r="F275" s="169" t="s">
        <v>511</v>
      </c>
      <c r="G275" s="124"/>
      <c r="H275" s="124"/>
    </row>
    <row r="276" spans="1:11" s="125" customFormat="1" x14ac:dyDescent="0.2">
      <c r="A276" s="74" t="s">
        <v>512</v>
      </c>
      <c r="B276" s="424">
        <v>0</v>
      </c>
      <c r="C276" s="424">
        <v>799000</v>
      </c>
      <c r="D276" s="424">
        <v>799000</v>
      </c>
      <c r="E276" s="111">
        <f t="shared" si="52"/>
        <v>100</v>
      </c>
      <c r="F276" s="169" t="s">
        <v>511</v>
      </c>
      <c r="G276" s="124"/>
      <c r="H276" s="124"/>
    </row>
    <row r="277" spans="1:11" s="125" customFormat="1" x14ac:dyDescent="0.2">
      <c r="A277" s="74" t="s">
        <v>513</v>
      </c>
      <c r="B277" s="424">
        <v>0</v>
      </c>
      <c r="C277" s="424">
        <f>120000+12000</f>
        <v>132000</v>
      </c>
      <c r="D277" s="424">
        <v>132000</v>
      </c>
      <c r="E277" s="111">
        <f t="shared" si="52"/>
        <v>100</v>
      </c>
      <c r="F277" s="169" t="s">
        <v>514</v>
      </c>
      <c r="G277" s="124"/>
      <c r="H277" s="124"/>
    </row>
    <row r="278" spans="1:11" s="125" customFormat="1" x14ac:dyDescent="0.2">
      <c r="A278" s="74" t="s">
        <v>640</v>
      </c>
      <c r="B278" s="424">
        <v>0</v>
      </c>
      <c r="C278" s="424">
        <v>34000</v>
      </c>
      <c r="D278" s="424">
        <v>33996</v>
      </c>
      <c r="E278" s="111">
        <f t="shared" si="52"/>
        <v>99.988235294117644</v>
      </c>
      <c r="F278" s="169" t="s">
        <v>514</v>
      </c>
      <c r="G278" s="124"/>
      <c r="H278" s="124"/>
    </row>
    <row r="279" spans="1:11" x14ac:dyDescent="0.2">
      <c r="A279" s="74" t="s">
        <v>515</v>
      </c>
      <c r="B279" s="424">
        <v>0</v>
      </c>
      <c r="C279" s="424">
        <v>30000</v>
      </c>
      <c r="D279" s="424">
        <v>30000</v>
      </c>
      <c r="E279" s="111">
        <f t="shared" si="52"/>
        <v>100</v>
      </c>
      <c r="F279" s="169" t="s">
        <v>514</v>
      </c>
    </row>
    <row r="280" spans="1:11" ht="15" x14ac:dyDescent="0.2">
      <c r="A280" s="108" t="s">
        <v>73</v>
      </c>
      <c r="B280" s="133">
        <f>SUM(B281:B283)</f>
        <v>0</v>
      </c>
      <c r="C280" s="133">
        <f>SUM(C281:C283)</f>
        <v>2330000</v>
      </c>
      <c r="D280" s="133">
        <f>SUM(D281:D283)</f>
        <v>2328835</v>
      </c>
      <c r="E280" s="123">
        <f t="shared" si="52"/>
        <v>99.95</v>
      </c>
      <c r="F280" s="99"/>
      <c r="G280" s="100" t="s">
        <v>638</v>
      </c>
    </row>
    <row r="281" spans="1:11" s="136" customFormat="1" x14ac:dyDescent="0.2">
      <c r="A281" s="115" t="s">
        <v>521</v>
      </c>
      <c r="B281" s="138">
        <v>0</v>
      </c>
      <c r="C281" s="138">
        <v>80000</v>
      </c>
      <c r="D281" s="138">
        <v>80000</v>
      </c>
      <c r="E281" s="111">
        <f t="shared" si="52"/>
        <v>100</v>
      </c>
      <c r="F281" s="201">
        <v>6322</v>
      </c>
      <c r="G281" s="112"/>
      <c r="H281" s="112"/>
    </row>
    <row r="282" spans="1:11" x14ac:dyDescent="0.2">
      <c r="A282" s="74" t="s">
        <v>522</v>
      </c>
      <c r="B282" s="137">
        <v>0</v>
      </c>
      <c r="C282" s="137">
        <v>2000000</v>
      </c>
      <c r="D282" s="137">
        <v>2000000</v>
      </c>
      <c r="E282" s="111">
        <f t="shared" si="52"/>
        <v>100</v>
      </c>
      <c r="F282" s="99" t="s">
        <v>578</v>
      </c>
    </row>
    <row r="283" spans="1:11" x14ac:dyDescent="0.2">
      <c r="A283" s="74" t="s">
        <v>523</v>
      </c>
      <c r="B283" s="137">
        <v>0</v>
      </c>
      <c r="C283" s="137">
        <v>250000</v>
      </c>
      <c r="D283" s="137">
        <v>248835</v>
      </c>
      <c r="E283" s="111">
        <f t="shared" si="52"/>
        <v>99.534000000000006</v>
      </c>
      <c r="F283" s="99" t="s">
        <v>578</v>
      </c>
      <c r="G283" s="194"/>
    </row>
    <row r="284" spans="1:11" ht="15" x14ac:dyDescent="0.2">
      <c r="A284" s="108" t="s">
        <v>74</v>
      </c>
      <c r="B284" s="133">
        <f>SUM(B285:B286)</f>
        <v>0</v>
      </c>
      <c r="C284" s="133">
        <f>SUM(C285:C286)</f>
        <v>280000</v>
      </c>
      <c r="D284" s="133">
        <f>SUM(D285:D286)</f>
        <v>158985.42000000001</v>
      </c>
      <c r="E284" s="123">
        <f t="shared" ref="E284:E296" si="53">D284/C284*100</f>
        <v>56.780507142857154</v>
      </c>
      <c r="F284" s="99"/>
      <c r="G284" s="100" t="s">
        <v>639</v>
      </c>
    </row>
    <row r="285" spans="1:11" x14ac:dyDescent="0.2">
      <c r="A285" s="74" t="s">
        <v>581</v>
      </c>
      <c r="B285" s="424">
        <v>0</v>
      </c>
      <c r="C285" s="424">
        <v>180000</v>
      </c>
      <c r="D285" s="424">
        <v>126301.32</v>
      </c>
      <c r="E285" s="111">
        <f t="shared" si="53"/>
        <v>70.167400000000001</v>
      </c>
      <c r="F285" s="99">
        <v>6121</v>
      </c>
      <c r="H285" s="391" t="s">
        <v>572</v>
      </c>
      <c r="I285" s="392">
        <v>0</v>
      </c>
      <c r="J285" s="392">
        <v>0</v>
      </c>
      <c r="K285" s="392">
        <v>0</v>
      </c>
    </row>
    <row r="286" spans="1:11" x14ac:dyDescent="0.2">
      <c r="A286" s="74" t="s">
        <v>582</v>
      </c>
      <c r="B286" s="424">
        <v>0</v>
      </c>
      <c r="C286" s="424">
        <v>100000</v>
      </c>
      <c r="D286" s="424">
        <v>32684.1</v>
      </c>
      <c r="E286" s="111">
        <v>0</v>
      </c>
      <c r="F286" s="99">
        <v>6122</v>
      </c>
      <c r="H286" s="389" t="s">
        <v>415</v>
      </c>
      <c r="I286" s="390">
        <v>0</v>
      </c>
      <c r="J286" s="390">
        <v>0</v>
      </c>
      <c r="K286" s="390">
        <v>0</v>
      </c>
    </row>
    <row r="287" spans="1:11" ht="15" x14ac:dyDescent="0.2">
      <c r="A287" s="108" t="s">
        <v>518</v>
      </c>
      <c r="B287" s="133">
        <f>SUM(B288:B289)</f>
        <v>0</v>
      </c>
      <c r="C287" s="133">
        <f>SUM(C288:C289)</f>
        <v>614000</v>
      </c>
      <c r="D287" s="133">
        <f>SUM(D288:D289)</f>
        <v>549006</v>
      </c>
      <c r="E287" s="123">
        <f>D287/C287*100</f>
        <v>89.414657980456028</v>
      </c>
      <c r="F287" s="99"/>
      <c r="H287" s="331" t="s">
        <v>102</v>
      </c>
      <c r="I287" s="382">
        <f>B289</f>
        <v>0</v>
      </c>
      <c r="J287" s="382">
        <f>C289</f>
        <v>500000</v>
      </c>
      <c r="K287" s="382">
        <f>D289</f>
        <v>489006</v>
      </c>
    </row>
    <row r="288" spans="1:11" x14ac:dyDescent="0.2">
      <c r="A288" s="416" t="s">
        <v>520</v>
      </c>
      <c r="B288" s="425">
        <v>0</v>
      </c>
      <c r="C288" s="425">
        <v>114000</v>
      </c>
      <c r="D288" s="425">
        <v>60000</v>
      </c>
      <c r="E288" s="111">
        <f t="shared" si="53"/>
        <v>52.631578947368418</v>
      </c>
      <c r="F288" s="99">
        <v>100808</v>
      </c>
      <c r="G288" s="100" t="s">
        <v>96</v>
      </c>
      <c r="H288" s="330" t="s">
        <v>96</v>
      </c>
      <c r="I288" s="383">
        <f>B288</f>
        <v>0</v>
      </c>
      <c r="J288" s="383">
        <f>C288</f>
        <v>114000</v>
      </c>
      <c r="K288" s="383">
        <f>D288</f>
        <v>60000</v>
      </c>
    </row>
    <row r="289" spans="1:11" x14ac:dyDescent="0.2">
      <c r="A289" s="74" t="s">
        <v>519</v>
      </c>
      <c r="B289" s="424">
        <v>0</v>
      </c>
      <c r="C289" s="424">
        <v>500000</v>
      </c>
      <c r="D289" s="424">
        <v>489006</v>
      </c>
      <c r="E289" s="111">
        <f t="shared" si="53"/>
        <v>97.801199999999994</v>
      </c>
      <c r="F289" s="99">
        <v>100789</v>
      </c>
      <c r="G289" s="100" t="s">
        <v>102</v>
      </c>
      <c r="H289" s="349" t="s">
        <v>371</v>
      </c>
      <c r="I289" s="384">
        <v>0</v>
      </c>
      <c r="J289" s="384"/>
      <c r="K289" s="384"/>
    </row>
    <row r="290" spans="1:11" ht="15" x14ac:dyDescent="0.2">
      <c r="A290" s="108" t="s">
        <v>75</v>
      </c>
      <c r="B290" s="133">
        <f>SUM(B291:B292)</f>
        <v>0</v>
      </c>
      <c r="C290" s="133">
        <f t="shared" ref="C290:D290" si="54">SUM(C291:C292)</f>
        <v>150000</v>
      </c>
      <c r="D290" s="133">
        <f t="shared" si="54"/>
        <v>138528</v>
      </c>
      <c r="E290" s="123">
        <f t="shared" si="53"/>
        <v>92.352000000000004</v>
      </c>
      <c r="F290" s="99"/>
      <c r="H290" s="100" t="s">
        <v>568</v>
      </c>
      <c r="I290" s="48">
        <f>B274</f>
        <v>0</v>
      </c>
      <c r="J290" s="48">
        <f>C274</f>
        <v>1245000</v>
      </c>
      <c r="K290" s="48">
        <f>D274</f>
        <v>1234996</v>
      </c>
    </row>
    <row r="291" spans="1:11" x14ac:dyDescent="0.2">
      <c r="A291" s="74" t="s">
        <v>516</v>
      </c>
      <c r="B291" s="424">
        <v>0</v>
      </c>
      <c r="C291" s="424">
        <v>60000</v>
      </c>
      <c r="D291" s="424">
        <v>58204</v>
      </c>
      <c r="E291" s="111">
        <f t="shared" si="53"/>
        <v>97.006666666666661</v>
      </c>
      <c r="F291" s="99"/>
      <c r="G291" s="100" t="s">
        <v>641</v>
      </c>
      <c r="H291" s="100" t="s">
        <v>566</v>
      </c>
      <c r="I291" s="48">
        <f>B280+B264</f>
        <v>0</v>
      </c>
      <c r="J291" s="48">
        <f>C280+C264</f>
        <v>5508693</v>
      </c>
      <c r="K291" s="48">
        <f>D280+D264</f>
        <v>5501528</v>
      </c>
    </row>
    <row r="292" spans="1:11" x14ac:dyDescent="0.2">
      <c r="A292" s="74" t="s">
        <v>517</v>
      </c>
      <c r="B292" s="424">
        <v>0</v>
      </c>
      <c r="C292" s="424">
        <v>90000</v>
      </c>
      <c r="D292" s="424">
        <v>80324</v>
      </c>
      <c r="E292" s="111">
        <f t="shared" si="53"/>
        <v>89.248888888888885</v>
      </c>
      <c r="F292" s="99"/>
      <c r="H292" s="100" t="s">
        <v>567</v>
      </c>
      <c r="I292" s="48">
        <f>B284</f>
        <v>0</v>
      </c>
      <c r="J292" s="48">
        <f>C284</f>
        <v>280000</v>
      </c>
      <c r="K292" s="48">
        <f>D284</f>
        <v>158985.42000000001</v>
      </c>
    </row>
    <row r="293" spans="1:11" ht="15" x14ac:dyDescent="0.2">
      <c r="A293" s="108" t="s">
        <v>76</v>
      </c>
      <c r="B293" s="133">
        <f>SUM(B294)</f>
        <v>1627000</v>
      </c>
      <c r="C293" s="133">
        <f t="shared" ref="C293:D293" si="55">SUM(C294)</f>
        <v>1627000</v>
      </c>
      <c r="D293" s="133">
        <f t="shared" si="55"/>
        <v>1624572</v>
      </c>
      <c r="E293" s="123">
        <f>D293/C293*100</f>
        <v>99.850768285187456</v>
      </c>
      <c r="F293" s="99"/>
      <c r="G293" s="100" t="s">
        <v>636</v>
      </c>
      <c r="H293" s="100" t="s">
        <v>569</v>
      </c>
      <c r="I293" s="48">
        <f>B290</f>
        <v>0</v>
      </c>
      <c r="J293" s="48">
        <f>C290</f>
        <v>150000</v>
      </c>
      <c r="K293" s="48">
        <f>D290</f>
        <v>138528</v>
      </c>
    </row>
    <row r="294" spans="1:11" x14ac:dyDescent="0.2">
      <c r="A294" s="74" t="s">
        <v>77</v>
      </c>
      <c r="B294" s="424">
        <v>1627000</v>
      </c>
      <c r="C294" s="424">
        <v>1627000</v>
      </c>
      <c r="D294" s="424">
        <v>1624572</v>
      </c>
      <c r="E294" s="111">
        <f t="shared" si="53"/>
        <v>99.850768285187456</v>
      </c>
      <c r="F294" s="99"/>
      <c r="H294" s="100" t="s">
        <v>570</v>
      </c>
      <c r="I294" s="48">
        <f>B293</f>
        <v>1627000</v>
      </c>
      <c r="J294" s="48">
        <f>C293</f>
        <v>1627000</v>
      </c>
      <c r="K294" s="48">
        <f>D293</f>
        <v>1624572</v>
      </c>
    </row>
    <row r="295" spans="1:11" ht="15" x14ac:dyDescent="0.2">
      <c r="A295" s="108" t="s">
        <v>84</v>
      </c>
      <c r="B295" s="133">
        <f>SUM(B296)</f>
        <v>6000000</v>
      </c>
      <c r="C295" s="133">
        <f>SUM(C296)</f>
        <v>6000000</v>
      </c>
      <c r="D295" s="133">
        <f>SUM(D296)</f>
        <v>6000000</v>
      </c>
      <c r="E295" s="123">
        <f>D295/C295*100</f>
        <v>100</v>
      </c>
      <c r="F295" s="99"/>
      <c r="H295" s="100" t="s">
        <v>571</v>
      </c>
      <c r="I295" s="48">
        <f>B295</f>
        <v>6000000</v>
      </c>
      <c r="J295" s="48">
        <f>C295</f>
        <v>6000000</v>
      </c>
      <c r="K295" s="48">
        <f>D295</f>
        <v>6000000</v>
      </c>
    </row>
    <row r="296" spans="1:11" ht="15.75" thickBot="1" x14ac:dyDescent="0.3">
      <c r="A296" s="426" t="s">
        <v>85</v>
      </c>
      <c r="B296" s="427">
        <v>6000000</v>
      </c>
      <c r="C296" s="427">
        <v>6000000</v>
      </c>
      <c r="D296" s="427">
        <v>6000000</v>
      </c>
      <c r="E296" s="420">
        <f t="shared" si="53"/>
        <v>100</v>
      </c>
      <c r="F296" s="203"/>
      <c r="G296" s="100" t="s">
        <v>642</v>
      </c>
      <c r="I296" s="381">
        <f>SUM(I285:I295)</f>
        <v>7627000</v>
      </c>
      <c r="J296" s="381">
        <f t="shared" ref="J296:K296" si="56">SUM(J285:J295)</f>
        <v>15424693</v>
      </c>
      <c r="K296" s="381">
        <f t="shared" si="56"/>
        <v>15207615.42</v>
      </c>
    </row>
    <row r="297" spans="1:11" ht="13.5" thickTop="1" x14ac:dyDescent="0.2">
      <c r="A297" s="131"/>
      <c r="B297" s="132"/>
      <c r="C297" s="132"/>
      <c r="D297" s="132"/>
      <c r="E297" s="117"/>
      <c r="F297" s="99"/>
    </row>
    <row r="298" spans="1:11" s="57" customFormat="1" ht="18.75" thickBot="1" x14ac:dyDescent="0.3">
      <c r="A298" s="127" t="s">
        <v>78</v>
      </c>
      <c r="B298" s="128">
        <f>SUM(B274,B280,B284,B290,B293,B295,B287)</f>
        <v>7627000</v>
      </c>
      <c r="C298" s="128">
        <f>SUM(C274,C280,C284,C290,C293,C295,C287)</f>
        <v>12246000</v>
      </c>
      <c r="D298" s="128">
        <f>SUM(D274,D280,D284,D290,D293,D295,D287)</f>
        <v>12034922.42</v>
      </c>
      <c r="E298" s="129">
        <f>D298/C298*100</f>
        <v>98.276354891393098</v>
      </c>
      <c r="F298" s="91"/>
      <c r="G298" s="130"/>
    </row>
    <row r="299" spans="1:11" ht="13.5" thickTop="1" x14ac:dyDescent="0.2"/>
    <row r="300" spans="1:11" x14ac:dyDescent="0.2">
      <c r="B300" s="48"/>
    </row>
    <row r="301" spans="1:11" x14ac:dyDescent="0.2">
      <c r="A301" s="58"/>
      <c r="B301" s="132"/>
      <c r="C301" s="132"/>
      <c r="D301" s="132"/>
    </row>
    <row r="302" spans="1:11" ht="14.25" x14ac:dyDescent="0.2">
      <c r="A302" s="141" t="s">
        <v>12</v>
      </c>
      <c r="B302" s="141"/>
      <c r="C302" s="141"/>
      <c r="D302" s="141"/>
      <c r="E302" s="142"/>
    </row>
    <row r="303" spans="1:11" ht="14.25" x14ac:dyDescent="0.2">
      <c r="A303" s="143" t="s">
        <v>16</v>
      </c>
      <c r="B303" s="144">
        <f>SUM(B87)</f>
        <v>49469000</v>
      </c>
      <c r="C303" s="144">
        <f>SUM(C87)</f>
        <v>64586770.960000001</v>
      </c>
      <c r="D303" s="144">
        <f>SUM(D87)</f>
        <v>58056398.899999999</v>
      </c>
      <c r="E303" s="145">
        <f t="shared" ref="E303:E310" si="57">D303/C303*100</f>
        <v>89.888994351421587</v>
      </c>
      <c r="F303" s="173"/>
    </row>
    <row r="304" spans="1:11" ht="14.25" x14ac:dyDescent="0.2">
      <c r="A304" s="143" t="s">
        <v>15</v>
      </c>
      <c r="B304" s="144">
        <f>SUM(B137)</f>
        <v>38329000</v>
      </c>
      <c r="C304" s="144">
        <f>SUM(C137)</f>
        <v>32565239.41</v>
      </c>
      <c r="D304" s="144">
        <f>SUM(D137)</f>
        <v>26849962.760000002</v>
      </c>
      <c r="E304" s="145">
        <f t="shared" si="57"/>
        <v>82.449763141477234</v>
      </c>
      <c r="F304" s="196"/>
    </row>
    <row r="305" spans="1:11" ht="14.25" x14ac:dyDescent="0.2">
      <c r="A305" s="143" t="s">
        <v>13</v>
      </c>
      <c r="B305" s="144">
        <f>SUM(B188)</f>
        <v>61381000</v>
      </c>
      <c r="C305" s="144">
        <f>SUM(C188)</f>
        <v>60229406.060000002</v>
      </c>
      <c r="D305" s="144">
        <f>SUM(D188)</f>
        <v>55365740.240000002</v>
      </c>
      <c r="E305" s="145">
        <f t="shared" si="57"/>
        <v>91.924765429108064</v>
      </c>
      <c r="F305" s="197"/>
    </row>
    <row r="306" spans="1:11" ht="14.25" x14ac:dyDescent="0.2">
      <c r="A306" s="143" t="s">
        <v>17</v>
      </c>
      <c r="B306" s="144">
        <f>SUM(B220)</f>
        <v>4908000</v>
      </c>
      <c r="C306" s="144">
        <f>SUM(C220)</f>
        <v>6900605</v>
      </c>
      <c r="D306" s="144">
        <f>SUM(D220)</f>
        <v>6026847</v>
      </c>
      <c r="E306" s="145">
        <f t="shared" si="57"/>
        <v>87.337950802864384</v>
      </c>
      <c r="F306" s="198"/>
    </row>
    <row r="307" spans="1:11" ht="14.25" x14ac:dyDescent="0.2">
      <c r="A307" s="143" t="s">
        <v>14</v>
      </c>
      <c r="B307" s="144">
        <f>SUM(B258)</f>
        <v>31669000</v>
      </c>
      <c r="C307" s="144">
        <f>SUM(C258)</f>
        <v>35102666.099999994</v>
      </c>
      <c r="D307" s="144">
        <f>SUM(D258)</f>
        <v>18562492.84</v>
      </c>
      <c r="E307" s="145">
        <f t="shared" si="57"/>
        <v>52.880578321656323</v>
      </c>
      <c r="F307" s="199"/>
    </row>
    <row r="308" spans="1:11" ht="14.25" x14ac:dyDescent="0.2">
      <c r="A308" s="143" t="s">
        <v>28</v>
      </c>
      <c r="B308" s="144">
        <f>SUM(B268)</f>
        <v>0</v>
      </c>
      <c r="C308" s="144">
        <f>SUM(C268)</f>
        <v>3178693</v>
      </c>
      <c r="D308" s="144">
        <f>SUM(D268)</f>
        <v>3172693</v>
      </c>
      <c r="E308" s="145">
        <f t="shared" si="57"/>
        <v>99.811243174474541</v>
      </c>
      <c r="F308" s="202"/>
    </row>
    <row r="309" spans="1:11" ht="14.25" x14ac:dyDescent="0.2">
      <c r="A309" s="143" t="s">
        <v>79</v>
      </c>
      <c r="B309" s="144">
        <f>SUM(B298)</f>
        <v>7627000</v>
      </c>
      <c r="C309" s="144">
        <f>SUM(C298)</f>
        <v>12246000</v>
      </c>
      <c r="D309" s="144">
        <f>SUM(D298)</f>
        <v>12034922.42</v>
      </c>
      <c r="E309" s="145">
        <f t="shared" si="57"/>
        <v>98.276354891393098</v>
      </c>
    </row>
    <row r="310" spans="1:11" ht="15.75" thickBot="1" x14ac:dyDescent="0.25">
      <c r="A310" s="146" t="s">
        <v>3</v>
      </c>
      <c r="B310" s="147">
        <f>SUM(B303:B309)</f>
        <v>193383000</v>
      </c>
      <c r="C310" s="147">
        <f>SUM(C303:C309)</f>
        <v>214809380.53</v>
      </c>
      <c r="D310" s="147">
        <f>SUM(D303:D309)</f>
        <v>180069057.16</v>
      </c>
      <c r="E310" s="148">
        <f t="shared" si="57"/>
        <v>83.827371372569914</v>
      </c>
    </row>
    <row r="311" spans="1:11" ht="14.25" thickTop="1" thickBot="1" x14ac:dyDescent="0.25">
      <c r="G311" s="405"/>
      <c r="H311" s="405"/>
      <c r="I311" s="60"/>
      <c r="J311" s="60"/>
      <c r="K311" s="60"/>
    </row>
    <row r="312" spans="1:11" ht="13.5" thickTop="1" x14ac:dyDescent="0.2"/>
    <row r="314" spans="1:11" ht="13.5" thickBot="1" x14ac:dyDescent="0.25">
      <c r="A314" s="379"/>
      <c r="B314" s="380">
        <f>SUM(B315:B324)</f>
        <v>29685000</v>
      </c>
      <c r="C314" s="380">
        <f>SUM(C315:C324)</f>
        <v>19731583</v>
      </c>
      <c r="D314" s="380">
        <f t="shared" ref="D314" si="58">SUM(D315:D324)</f>
        <v>12632309</v>
      </c>
      <c r="E314" s="27"/>
      <c r="F314" s="23"/>
      <c r="G314" s="23"/>
      <c r="H314" s="391" t="s">
        <v>558</v>
      </c>
      <c r="I314" s="392">
        <f>I182</f>
        <v>0</v>
      </c>
      <c r="J314" s="392">
        <f t="shared" ref="J314:K314" si="59">J182</f>
        <v>0</v>
      </c>
      <c r="K314" s="392">
        <f t="shared" si="59"/>
        <v>0</v>
      </c>
    </row>
    <row r="315" spans="1:11" ht="13.5" thickTop="1" x14ac:dyDescent="0.2">
      <c r="A315" s="376" t="s">
        <v>96</v>
      </c>
      <c r="B315" s="206">
        <v>29685000</v>
      </c>
      <c r="C315" s="206">
        <f>4021900+7467646+1642502+1040111+2836742+100000+432000+2076682+114000</f>
        <v>19731583</v>
      </c>
      <c r="D315" s="206">
        <v>12632309</v>
      </c>
      <c r="E315" s="27"/>
      <c r="F315" s="23"/>
      <c r="G315" s="23"/>
      <c r="H315" s="391" t="s">
        <v>416</v>
      </c>
      <c r="I315" s="392">
        <f>I81+I130+I214+I253+I285</f>
        <v>15364000</v>
      </c>
      <c r="J315" s="392">
        <f>J81+J130+J214+J253+J285</f>
        <v>6550621.2400000002</v>
      </c>
      <c r="K315" s="392">
        <f>K81+K130+K214+K253+K285</f>
        <v>2852615.2600000002</v>
      </c>
    </row>
    <row r="316" spans="1:11" x14ac:dyDescent="0.2">
      <c r="A316" s="376" t="s">
        <v>102</v>
      </c>
      <c r="B316" s="206"/>
      <c r="C316" s="206"/>
      <c r="D316" s="206"/>
      <c r="E316" s="27"/>
      <c r="F316" s="23"/>
      <c r="G316" s="23"/>
      <c r="H316" s="389" t="s">
        <v>415</v>
      </c>
      <c r="I316" s="390">
        <f t="shared" ref="I316:K319" si="60">I82+I131+I183+I215+I254+I286</f>
        <v>0</v>
      </c>
      <c r="J316" s="390">
        <f t="shared" si="60"/>
        <v>4458712.8</v>
      </c>
      <c r="K316" s="390">
        <f t="shared" si="60"/>
        <v>4050621.8</v>
      </c>
    </row>
    <row r="317" spans="1:11" x14ac:dyDescent="0.2">
      <c r="A317" s="376" t="s">
        <v>371</v>
      </c>
      <c r="B317" s="206"/>
      <c r="C317" s="206"/>
      <c r="D317" s="206"/>
      <c r="E317" s="27"/>
      <c r="F317" s="23"/>
      <c r="G317" s="23"/>
      <c r="H317" s="331" t="s">
        <v>102</v>
      </c>
      <c r="I317" s="382">
        <f t="shared" si="60"/>
        <v>159540000</v>
      </c>
      <c r="J317" s="382">
        <f t="shared" si="60"/>
        <v>149018953.49000001</v>
      </c>
      <c r="K317" s="382">
        <f t="shared" si="60"/>
        <v>123539402.68000001</v>
      </c>
    </row>
    <row r="318" spans="1:11" x14ac:dyDescent="0.2">
      <c r="A318" s="376"/>
      <c r="B318" s="206"/>
      <c r="C318" s="206"/>
      <c r="D318" s="206"/>
      <c r="E318" s="27"/>
      <c r="F318" s="23"/>
      <c r="G318" s="23"/>
      <c r="H318" s="330" t="s">
        <v>96</v>
      </c>
      <c r="I318" s="383">
        <f t="shared" si="60"/>
        <v>418000</v>
      </c>
      <c r="J318" s="383">
        <f t="shared" si="60"/>
        <v>17122901</v>
      </c>
      <c r="K318" s="383">
        <f t="shared" si="60"/>
        <v>12120309</v>
      </c>
    </row>
    <row r="319" spans="1:11" x14ac:dyDescent="0.2">
      <c r="A319" s="376"/>
      <c r="B319" s="206"/>
      <c r="C319" s="206"/>
      <c r="D319" s="206"/>
      <c r="E319" s="27"/>
      <c r="F319" s="23"/>
      <c r="G319" s="23"/>
      <c r="H319" s="349" t="s">
        <v>371</v>
      </c>
      <c r="I319" s="384">
        <f t="shared" si="60"/>
        <v>10434000</v>
      </c>
      <c r="J319" s="384">
        <f t="shared" si="60"/>
        <v>22847499</v>
      </c>
      <c r="K319" s="384">
        <f t="shared" si="60"/>
        <v>22847499</v>
      </c>
    </row>
    <row r="320" spans="1:11" x14ac:dyDescent="0.2">
      <c r="H320" s="100" t="s">
        <v>568</v>
      </c>
      <c r="I320" s="48">
        <f t="shared" ref="I320:K325" si="61">I290</f>
        <v>0</v>
      </c>
      <c r="J320" s="48">
        <f t="shared" si="61"/>
        <v>1245000</v>
      </c>
      <c r="K320" s="48">
        <f t="shared" si="61"/>
        <v>1234996</v>
      </c>
    </row>
    <row r="321" spans="8:11" x14ac:dyDescent="0.2">
      <c r="H321" s="100" t="s">
        <v>566</v>
      </c>
      <c r="I321" s="48">
        <f t="shared" si="61"/>
        <v>0</v>
      </c>
      <c r="J321" s="48">
        <f t="shared" si="61"/>
        <v>5508693</v>
      </c>
      <c r="K321" s="48">
        <f t="shared" si="61"/>
        <v>5501528</v>
      </c>
    </row>
    <row r="322" spans="8:11" x14ac:dyDescent="0.2">
      <c r="H322" s="100" t="s">
        <v>567</v>
      </c>
      <c r="I322" s="48">
        <f t="shared" si="61"/>
        <v>0</v>
      </c>
      <c r="J322" s="48">
        <f t="shared" si="61"/>
        <v>280000</v>
      </c>
      <c r="K322" s="48">
        <f t="shared" si="61"/>
        <v>158985.42000000001</v>
      </c>
    </row>
    <row r="323" spans="8:11" x14ac:dyDescent="0.2">
      <c r="H323" s="100" t="s">
        <v>569</v>
      </c>
      <c r="I323" s="48">
        <f t="shared" si="61"/>
        <v>0</v>
      </c>
      <c r="J323" s="48">
        <f t="shared" si="61"/>
        <v>150000</v>
      </c>
      <c r="K323" s="48">
        <f t="shared" si="61"/>
        <v>138528</v>
      </c>
    </row>
    <row r="324" spans="8:11" x14ac:dyDescent="0.2">
      <c r="H324" s="100" t="s">
        <v>570</v>
      </c>
      <c r="I324" s="48">
        <f t="shared" si="61"/>
        <v>1627000</v>
      </c>
      <c r="J324" s="48">
        <f t="shared" si="61"/>
        <v>1627000</v>
      </c>
      <c r="K324" s="48">
        <f t="shared" si="61"/>
        <v>1624572</v>
      </c>
    </row>
    <row r="325" spans="8:11" x14ac:dyDescent="0.2">
      <c r="H325" s="100" t="s">
        <v>571</v>
      </c>
      <c r="I325" s="48">
        <f t="shared" si="61"/>
        <v>6000000</v>
      </c>
      <c r="J325" s="48">
        <f t="shared" si="61"/>
        <v>6000000</v>
      </c>
      <c r="K325" s="48">
        <f t="shared" si="61"/>
        <v>6000000</v>
      </c>
    </row>
    <row r="326" spans="8:11" ht="15" x14ac:dyDescent="0.25">
      <c r="I326" s="381">
        <f>SUM(I315:I325)</f>
        <v>193383000</v>
      </c>
      <c r="J326" s="381">
        <f t="shared" ref="J326" si="62">SUM(J315:J325)</f>
        <v>214809380.53</v>
      </c>
      <c r="K326" s="381">
        <f t="shared" ref="K326" si="63">SUM(K315:K325)</f>
        <v>180069057.16</v>
      </c>
    </row>
  </sheetData>
  <pageMargins left="0.78740157480314965" right="0.78740157480314965" top="0.98425196850393704" bottom="0.98425196850393704" header="0.51181102362204722" footer="0.51181102362204722"/>
  <pageSetup paperSize="9" scale="64" firstPageNumber="202" fitToHeight="5" orientation="portrait" useFirstPageNumber="1" r:id="rId1"/>
  <headerFooter alignWithMargins="0">
    <oddFooter>&amp;L&amp;"Arial,Kurzíva"Zastupitelstvo Olomouckého kraje 28.6.2013
6.- Závěrečný účet Olomouckého kraje za rok 2012
Příloha č. 8: Přehled financování investičních akcí v roce 2012&amp;R&amp;"Arial,Kurzíva"Strana &amp;P (celkem 484)</oddFooter>
  </headerFooter>
  <rowBreaks count="2" manualBreakCount="2">
    <brk id="140" max="4" man="1"/>
    <brk id="22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showGridLines="0" view="pageBreakPreview" zoomScaleNormal="100" zoomScaleSheetLayoutView="100" workbookViewId="0">
      <selection activeCell="H25" sqref="H25"/>
    </sheetView>
  </sheetViews>
  <sheetFormatPr defaultRowHeight="12.75" x14ac:dyDescent="0.2"/>
  <cols>
    <col min="1" max="1" width="76.28515625" style="160" customWidth="1"/>
    <col min="2" max="2" width="16" style="161" customWidth="1"/>
    <col min="3" max="3" width="16" style="162" customWidth="1"/>
    <col min="4" max="4" width="16.140625" style="160" customWidth="1"/>
    <col min="5" max="5" width="7.42578125" style="160" customWidth="1"/>
    <col min="6" max="6" width="12.5703125" style="163" customWidth="1"/>
    <col min="7" max="7" width="10.140625" style="187" bestFit="1" customWidth="1"/>
    <col min="8" max="8" width="16.140625" style="160" bestFit="1" customWidth="1"/>
    <col min="9" max="9" width="11.7109375" style="160" bestFit="1" customWidth="1"/>
    <col min="10" max="16384" width="9.140625" style="160"/>
  </cols>
  <sheetData>
    <row r="1" spans="1:8" s="94" customFormat="1" ht="18" x14ac:dyDescent="0.25">
      <c r="A1" s="91" t="s">
        <v>109</v>
      </c>
      <c r="B1" s="91"/>
      <c r="C1" s="91"/>
      <c r="D1" s="91"/>
      <c r="E1" s="91"/>
      <c r="F1" s="149"/>
      <c r="G1" s="187"/>
      <c r="H1" s="150"/>
    </row>
    <row r="2" spans="1:8" s="97" customFormat="1" ht="15.75" x14ac:dyDescent="0.25">
      <c r="A2" s="95" t="s">
        <v>273</v>
      </c>
      <c r="B2" s="96"/>
      <c r="C2" s="96"/>
      <c r="D2" s="96"/>
      <c r="E2" s="96"/>
      <c r="F2" s="152"/>
      <c r="G2" s="187"/>
      <c r="H2" s="153"/>
    </row>
    <row r="3" spans="1:8" s="156" customFormat="1" ht="15.75" x14ac:dyDescent="0.25">
      <c r="A3" s="154"/>
      <c r="B3" s="154"/>
      <c r="C3" s="154"/>
      <c r="D3" s="154"/>
      <c r="E3" s="151"/>
      <c r="F3" s="155"/>
      <c r="G3" s="188"/>
    </row>
    <row r="4" spans="1:8" s="49" customFormat="1" ht="18" x14ac:dyDescent="0.25">
      <c r="A4" s="98" t="s">
        <v>30</v>
      </c>
      <c r="E4" s="99"/>
      <c r="G4" s="187"/>
    </row>
    <row r="5" spans="1:8" s="49" customFormat="1" ht="15" customHeight="1" thickBot="1" x14ac:dyDescent="0.3">
      <c r="A5" s="101" t="s">
        <v>80</v>
      </c>
      <c r="E5" s="102" t="s">
        <v>18</v>
      </c>
      <c r="G5" s="187"/>
    </row>
    <row r="6" spans="1:8" s="49" customFormat="1" ht="27" customHeight="1" thickTop="1" thickBot="1" x14ac:dyDescent="0.25">
      <c r="A6" s="103" t="s">
        <v>5</v>
      </c>
      <c r="B6" s="104" t="s">
        <v>0</v>
      </c>
      <c r="C6" s="105" t="s">
        <v>1</v>
      </c>
      <c r="D6" s="106" t="s">
        <v>4</v>
      </c>
      <c r="E6" s="107" t="s">
        <v>6</v>
      </c>
      <c r="G6" s="187"/>
    </row>
    <row r="7" spans="1:8" ht="15.75" thickTop="1" x14ac:dyDescent="0.2">
      <c r="A7" s="108" t="s">
        <v>7</v>
      </c>
      <c r="B7" s="109">
        <f>SUM(B8:B10)</f>
        <v>0</v>
      </c>
      <c r="C7" s="307">
        <f t="shared" ref="C7:D7" si="0">SUM(C8:C10)</f>
        <v>18221014.02</v>
      </c>
      <c r="D7" s="133">
        <f t="shared" si="0"/>
        <v>18221014.02</v>
      </c>
      <c r="E7" s="158">
        <f>D7/C7*100</f>
        <v>100</v>
      </c>
      <c r="F7" s="159" t="s">
        <v>2</v>
      </c>
      <c r="G7" s="188" t="s">
        <v>89</v>
      </c>
    </row>
    <row r="8" spans="1:8" x14ac:dyDescent="0.2">
      <c r="A8" s="416" t="s">
        <v>274</v>
      </c>
      <c r="B8" s="417">
        <v>0</v>
      </c>
      <c r="C8" s="417">
        <f>373237.06+6345029.98</f>
        <v>6718267.04</v>
      </c>
      <c r="D8" s="417">
        <f>373237.06+6345029.98</f>
        <v>6718267.04</v>
      </c>
      <c r="E8" s="111">
        <f t="shared" ref="E8:E9" si="1">D8/C8*100</f>
        <v>100</v>
      </c>
      <c r="F8" s="312">
        <v>60001100221</v>
      </c>
      <c r="G8" s="190" t="s">
        <v>88</v>
      </c>
    </row>
    <row r="9" spans="1:8" x14ac:dyDescent="0.2">
      <c r="A9" s="416" t="s">
        <v>276</v>
      </c>
      <c r="B9" s="417">
        <v>0</v>
      </c>
      <c r="C9" s="417">
        <f>413674.71+7032470.21</f>
        <v>7446144.9199999999</v>
      </c>
      <c r="D9" s="417">
        <f>413674.71+7032470.21</f>
        <v>7446144.9199999999</v>
      </c>
      <c r="E9" s="111">
        <f t="shared" si="1"/>
        <v>100</v>
      </c>
      <c r="F9" s="312">
        <v>60001100464</v>
      </c>
      <c r="G9" s="190" t="s">
        <v>88</v>
      </c>
    </row>
    <row r="10" spans="1:8" ht="13.5" thickBot="1" x14ac:dyDescent="0.25">
      <c r="A10" s="418" t="s">
        <v>275</v>
      </c>
      <c r="B10" s="419">
        <v>0</v>
      </c>
      <c r="C10" s="419">
        <f>225366.78+3831235.28</f>
        <v>4056602.0599999996</v>
      </c>
      <c r="D10" s="419">
        <f>225366.78+3831235.28</f>
        <v>4056602.0599999996</v>
      </c>
      <c r="E10" s="420">
        <f>D10/C10*100</f>
        <v>100</v>
      </c>
      <c r="F10" s="313">
        <v>60001100471</v>
      </c>
      <c r="G10" s="190" t="s">
        <v>88</v>
      </c>
    </row>
    <row r="11" spans="1:8" s="156" customFormat="1" ht="16.5" thickTop="1" x14ac:dyDescent="0.25">
      <c r="A11" s="154"/>
      <c r="B11" s="154"/>
      <c r="C11" s="154"/>
      <c r="D11" s="154"/>
      <c r="E11" s="151"/>
      <c r="F11" s="155"/>
      <c r="G11" s="188"/>
    </row>
    <row r="12" spans="1:8" s="57" customFormat="1" ht="18.75" thickBot="1" x14ac:dyDescent="0.3">
      <c r="A12" s="127" t="s">
        <v>33</v>
      </c>
      <c r="B12" s="128">
        <f>SUM(B7)</f>
        <v>0</v>
      </c>
      <c r="C12" s="128">
        <f>SUM(C7)</f>
        <v>18221014.02</v>
      </c>
      <c r="D12" s="128">
        <f>SUM(D7)</f>
        <v>18221014.02</v>
      </c>
      <c r="E12" s="129">
        <f>D12/C12*100</f>
        <v>100</v>
      </c>
      <c r="F12" s="91"/>
      <c r="G12" s="189"/>
    </row>
    <row r="13" spans="1:8" ht="13.5" thickTop="1" x14ac:dyDescent="0.2"/>
    <row r="16" spans="1:8" s="49" customFormat="1" ht="18" x14ac:dyDescent="0.25">
      <c r="A16" s="98" t="s">
        <v>35</v>
      </c>
      <c r="E16" s="99"/>
      <c r="G16" s="187"/>
    </row>
    <row r="17" spans="1:9" s="49" customFormat="1" ht="15" customHeight="1" thickBot="1" x14ac:dyDescent="0.3">
      <c r="A17" s="101" t="s">
        <v>80</v>
      </c>
      <c r="E17" s="102" t="s">
        <v>18</v>
      </c>
      <c r="G17" s="187"/>
    </row>
    <row r="18" spans="1:9" s="49" customFormat="1" ht="27" customHeight="1" thickTop="1" thickBot="1" x14ac:dyDescent="0.25">
      <c r="A18" s="103" t="s">
        <v>5</v>
      </c>
      <c r="B18" s="104" t="s">
        <v>0</v>
      </c>
      <c r="C18" s="105" t="s">
        <v>1</v>
      </c>
      <c r="D18" s="106" t="s">
        <v>4</v>
      </c>
      <c r="E18" s="107" t="s">
        <v>6</v>
      </c>
      <c r="G18" s="187"/>
    </row>
    <row r="19" spans="1:9" ht="15.75" thickTop="1" x14ac:dyDescent="0.2">
      <c r="A19" s="108" t="s">
        <v>9</v>
      </c>
      <c r="B19" s="109">
        <f>SUM(B20:B22)</f>
        <v>0</v>
      </c>
      <c r="C19" s="109">
        <f>SUM(C20:C22)</f>
        <v>7141988.4000000004</v>
      </c>
      <c r="D19" s="109">
        <f t="shared" ref="D19" si="2">SUM(D20:D22)</f>
        <v>4413103.34</v>
      </c>
      <c r="E19" s="158">
        <f>D19/C19*100</f>
        <v>61.7909620239652</v>
      </c>
      <c r="F19" s="159" t="s">
        <v>2</v>
      </c>
      <c r="G19" s="188" t="s">
        <v>87</v>
      </c>
    </row>
    <row r="20" spans="1:9" ht="25.5" x14ac:dyDescent="0.2">
      <c r="A20" s="421" t="s">
        <v>643</v>
      </c>
      <c r="B20" s="422">
        <v>0</v>
      </c>
      <c r="C20" s="422">
        <f>147902.23+2514337.91</f>
        <v>2662240.14</v>
      </c>
      <c r="D20" s="422">
        <f>147902.23+2514337.91</f>
        <v>2662240.14</v>
      </c>
      <c r="E20" s="111">
        <f>D20/C20*100</f>
        <v>100</v>
      </c>
      <c r="F20" s="313">
        <v>60002100250</v>
      </c>
      <c r="G20" s="190" t="s">
        <v>88</v>
      </c>
    </row>
    <row r="21" spans="1:9" ht="25.5" x14ac:dyDescent="0.2">
      <c r="A21" s="421" t="s">
        <v>430</v>
      </c>
      <c r="B21" s="422">
        <v>0</v>
      </c>
      <c r="C21" s="422">
        <v>1761177.26</v>
      </c>
      <c r="D21" s="310">
        <v>1750863.2</v>
      </c>
      <c r="E21" s="111">
        <f>D21/C21*100</f>
        <v>99.414365593160099</v>
      </c>
      <c r="F21" s="313">
        <v>60002100324</v>
      </c>
      <c r="G21" s="351" t="s">
        <v>488</v>
      </c>
      <c r="I21" s="415"/>
    </row>
    <row r="22" spans="1:9" ht="13.5" thickBot="1" x14ac:dyDescent="0.25">
      <c r="A22" s="418" t="s">
        <v>426</v>
      </c>
      <c r="B22" s="419">
        <v>0</v>
      </c>
      <c r="C22" s="419">
        <f>407785.65+2310785.35</f>
        <v>2718571</v>
      </c>
      <c r="D22" s="423">
        <v>0</v>
      </c>
      <c r="E22" s="420">
        <v>0</v>
      </c>
      <c r="F22" s="313">
        <v>60002100814</v>
      </c>
      <c r="G22" s="190" t="s">
        <v>489</v>
      </c>
    </row>
    <row r="23" spans="1:9" s="94" customFormat="1" ht="13.5" thickTop="1" x14ac:dyDescent="0.2">
      <c r="A23" s="309"/>
      <c r="B23" s="310"/>
      <c r="C23" s="310"/>
      <c r="D23" s="310"/>
      <c r="E23" s="117"/>
      <c r="F23" s="311"/>
      <c r="G23" s="188"/>
    </row>
    <row r="24" spans="1:9" s="57" customFormat="1" ht="18.75" thickBot="1" x14ac:dyDescent="0.3">
      <c r="A24" s="127" t="s">
        <v>34</v>
      </c>
      <c r="B24" s="128">
        <f>B19</f>
        <v>0</v>
      </c>
      <c r="C24" s="128">
        <f t="shared" ref="C24:D24" si="3">C19</f>
        <v>7141988.4000000004</v>
      </c>
      <c r="D24" s="128">
        <f t="shared" si="3"/>
        <v>4413103.34</v>
      </c>
      <c r="E24" s="129">
        <f>D24/C24*100</f>
        <v>61.7909620239652</v>
      </c>
      <c r="F24" s="91"/>
      <c r="G24" s="189"/>
    </row>
    <row r="25" spans="1:9" s="94" customFormat="1" ht="13.5" thickTop="1" x14ac:dyDescent="0.2">
      <c r="A25" s="309"/>
      <c r="B25" s="310"/>
      <c r="C25" s="310"/>
      <c r="D25" s="310"/>
      <c r="E25" s="117"/>
      <c r="F25" s="311"/>
      <c r="G25" s="188"/>
    </row>
    <row r="26" spans="1:9" s="94" customFormat="1" x14ac:dyDescent="0.2">
      <c r="A26" s="309"/>
      <c r="B26" s="310"/>
      <c r="C26" s="310"/>
      <c r="D26" s="310"/>
      <c r="E26" s="117"/>
      <c r="F26" s="311"/>
      <c r="G26" s="188"/>
    </row>
    <row r="27" spans="1:9" s="94" customFormat="1" x14ac:dyDescent="0.2">
      <c r="A27" s="309"/>
      <c r="B27" s="310"/>
      <c r="C27" s="310"/>
      <c r="D27" s="310"/>
      <c r="E27" s="117"/>
      <c r="F27" s="311"/>
      <c r="G27" s="188"/>
    </row>
    <row r="28" spans="1:9" s="49" customFormat="1" ht="18" x14ac:dyDescent="0.25">
      <c r="A28" s="98" t="s">
        <v>62</v>
      </c>
      <c r="E28" s="99"/>
      <c r="G28" s="187"/>
    </row>
    <row r="29" spans="1:9" s="49" customFormat="1" ht="15" customHeight="1" thickBot="1" x14ac:dyDescent="0.3">
      <c r="A29" s="101" t="s">
        <v>86</v>
      </c>
      <c r="E29" s="102" t="s">
        <v>18</v>
      </c>
      <c r="G29" s="187"/>
    </row>
    <row r="30" spans="1:9" s="49" customFormat="1" ht="27" customHeight="1" thickTop="1" thickBot="1" x14ac:dyDescent="0.25">
      <c r="A30" s="103" t="s">
        <v>5</v>
      </c>
      <c r="B30" s="104" t="s">
        <v>0</v>
      </c>
      <c r="C30" s="105" t="s">
        <v>1</v>
      </c>
      <c r="D30" s="106" t="s">
        <v>4</v>
      </c>
      <c r="E30" s="107" t="s">
        <v>6</v>
      </c>
      <c r="G30" s="187"/>
    </row>
    <row r="31" spans="1:9" ht="15.75" thickTop="1" x14ac:dyDescent="0.2">
      <c r="A31" s="108" t="s">
        <v>11</v>
      </c>
      <c r="B31" s="109">
        <f>SUM(B32:B32)</f>
        <v>0</v>
      </c>
      <c r="C31" s="157">
        <f>SUM(C32:C32)</f>
        <v>324474</v>
      </c>
      <c r="D31" s="109">
        <f>SUM(D32:D32)</f>
        <v>324474</v>
      </c>
      <c r="E31" s="158">
        <f>D31/C31*100</f>
        <v>100</v>
      </c>
      <c r="F31" s="159" t="s">
        <v>2</v>
      </c>
      <c r="G31" s="188" t="s">
        <v>87</v>
      </c>
    </row>
    <row r="32" spans="1:9" ht="13.5" thickBot="1" x14ac:dyDescent="0.25">
      <c r="A32" s="418" t="s">
        <v>277</v>
      </c>
      <c r="B32" s="419">
        <v>0</v>
      </c>
      <c r="C32" s="423">
        <v>324474</v>
      </c>
      <c r="D32" s="419">
        <v>324474</v>
      </c>
      <c r="E32" s="420">
        <f>D32/C32*100</f>
        <v>100</v>
      </c>
      <c r="F32" s="313">
        <v>60004000000</v>
      </c>
      <c r="G32" s="188">
        <v>98861</v>
      </c>
    </row>
    <row r="33" spans="1:7" s="156" customFormat="1" ht="16.5" thickTop="1" x14ac:dyDescent="0.25">
      <c r="A33" s="154"/>
      <c r="B33" s="154"/>
      <c r="C33" s="154"/>
      <c r="D33" s="154"/>
      <c r="E33" s="151"/>
      <c r="F33" s="155"/>
      <c r="G33" s="188"/>
    </row>
    <row r="34" spans="1:7" s="57" customFormat="1" ht="18.75" thickBot="1" x14ac:dyDescent="0.3">
      <c r="A34" s="127" t="s">
        <v>41</v>
      </c>
      <c r="B34" s="128">
        <f>SUM(B31)</f>
        <v>0</v>
      </c>
      <c r="C34" s="128">
        <f>SUM(C31)</f>
        <v>324474</v>
      </c>
      <c r="D34" s="128">
        <f>SUM(D31)</f>
        <v>324474</v>
      </c>
      <c r="E34" s="129">
        <f>D34/C34*100</f>
        <v>100</v>
      </c>
      <c r="F34" s="91"/>
      <c r="G34" s="189"/>
    </row>
    <row r="35" spans="1:7" ht="13.5" thickTop="1" x14ac:dyDescent="0.2"/>
    <row r="38" spans="1:7" ht="14.25" x14ac:dyDescent="0.2">
      <c r="A38" s="141" t="s">
        <v>12</v>
      </c>
      <c r="B38" s="141"/>
      <c r="C38" s="141"/>
      <c r="D38" s="141"/>
      <c r="E38" s="142"/>
    </row>
    <row r="39" spans="1:7" ht="14.25" x14ac:dyDescent="0.2">
      <c r="A39" s="143" t="s">
        <v>16</v>
      </c>
      <c r="B39" s="144">
        <f>B12</f>
        <v>0</v>
      </c>
      <c r="C39" s="144">
        <f>C12</f>
        <v>18221014.02</v>
      </c>
      <c r="D39" s="144">
        <f>D12</f>
        <v>18221014.02</v>
      </c>
      <c r="E39" s="145">
        <f>D39/C39*100</f>
        <v>100</v>
      </c>
    </row>
    <row r="40" spans="1:7" ht="14.25" x14ac:dyDescent="0.2">
      <c r="A40" s="143" t="s">
        <v>15</v>
      </c>
      <c r="B40" s="144">
        <f>B24</f>
        <v>0</v>
      </c>
      <c r="C40" s="144">
        <f t="shared" ref="C40:D40" si="4">C24</f>
        <v>7141988.4000000004</v>
      </c>
      <c r="D40" s="144">
        <f t="shared" si="4"/>
        <v>4413103.34</v>
      </c>
      <c r="E40" s="145">
        <f>D40/C40*100</f>
        <v>61.7909620239652</v>
      </c>
    </row>
    <row r="41" spans="1:7" ht="14.25" x14ac:dyDescent="0.2">
      <c r="A41" s="143" t="s">
        <v>13</v>
      </c>
      <c r="B41" s="144">
        <f>B34</f>
        <v>0</v>
      </c>
      <c r="C41" s="144">
        <f>C34</f>
        <v>324474</v>
      </c>
      <c r="D41" s="144">
        <f>D34</f>
        <v>324474</v>
      </c>
      <c r="E41" s="144">
        <f>E34</f>
        <v>100</v>
      </c>
    </row>
    <row r="42" spans="1:7" ht="15.75" thickBot="1" x14ac:dyDescent="0.25">
      <c r="A42" s="146" t="s">
        <v>3</v>
      </c>
      <c r="B42" s="147">
        <f>SUM(B39:B41)</f>
        <v>0</v>
      </c>
      <c r="C42" s="147">
        <f t="shared" ref="C42:D42" si="5">SUM(C39:C41)</f>
        <v>25687476.420000002</v>
      </c>
      <c r="D42" s="147">
        <f t="shared" si="5"/>
        <v>22958591.359999999</v>
      </c>
      <c r="E42" s="148">
        <f>D42/C42*100</f>
        <v>89.376593420927392</v>
      </c>
    </row>
    <row r="43" spans="1:7" ht="13.5" thickTop="1" x14ac:dyDescent="0.2"/>
  </sheetData>
  <pageMargins left="0.78740157480314965" right="0.78740157480314965" top="0.98425196850393704" bottom="0.98425196850393704" header="0.51181102362204722" footer="0.51181102362204722"/>
  <pageSetup paperSize="9" scale="66" firstPageNumber="207" orientation="portrait" useFirstPageNumber="1" r:id="rId1"/>
  <headerFooter alignWithMargins="0">
    <oddFooter>&amp;L&amp;"Arial,Kurzíva"Zastupitelstvo Olomouckého kraje 28.6.2013
6.- Závěrečný účet Olomouckého kraje za rok 2012
Příloha č. 8: Přehled financování investičních akcí v roce 2012&amp;R&amp;"Arial,Kurzíva"Strana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8a. EIB - Evropské programy</vt:lpstr>
      <vt:lpstr>8b. KB 2012</vt:lpstr>
      <vt:lpstr>8c. OK 2012</vt:lpstr>
      <vt:lpstr>d) dotace</vt:lpstr>
      <vt:lpstr>'8a. EIB - Evropské programy'!Oblast_tisku</vt:lpstr>
      <vt:lpstr>'8b. KB 2012'!Oblast_tisku</vt:lpstr>
      <vt:lpstr>'8c. OK 2012'!Oblast_tisku</vt:lpstr>
      <vt:lpstr>'d) dotace'!Oblast_tisku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Dresslerová Veronika</cp:lastModifiedBy>
  <cp:lastPrinted>2013-06-06T10:59:31Z</cp:lastPrinted>
  <dcterms:created xsi:type="dcterms:W3CDTF">2010-08-09T11:30:13Z</dcterms:created>
  <dcterms:modified xsi:type="dcterms:W3CDTF">2013-06-10T10:40:08Z</dcterms:modified>
</cp:coreProperties>
</file>